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codeName="ThisWorkbook"/>
  <mc:AlternateContent xmlns:mc="http://schemas.openxmlformats.org/markup-compatibility/2006">
    <mc:Choice Requires="x15">
      <x15ac:absPath xmlns:x15ac="http://schemas.microsoft.com/office/spreadsheetml/2010/11/ac" url="/Users/johanreymond/Desktop/VAE6.11/ICA/"/>
    </mc:Choice>
  </mc:AlternateContent>
  <xr:revisionPtr revIDLastSave="0" documentId="13_ncr:1_{8DD98A79-1173-BB46-9BFA-36E76AA1EACF}" xr6:coauthVersionLast="47" xr6:coauthVersionMax="47" xr10:uidLastSave="{00000000-0000-0000-0000-000000000000}"/>
  <bookViews>
    <workbookView xWindow="1240" yWindow="680" windowWidth="28760" windowHeight="17420" xr2:uid="{00000000-000D-0000-FFFF-FFFF00000000}"/>
  </bookViews>
  <sheets>
    <sheet name="Notice" sheetId="17" r:id="rId1"/>
    <sheet name="Table des matières" sheetId="16" r:id="rId2"/>
    <sheet name="Matières premières" sheetId="2" r:id="rId3"/>
    <sheet name="Café crème" sheetId="3" r:id="rId4"/>
    <sheet name="Cappuccino" sheetId="4" r:id="rId5"/>
    <sheet name="Café au lait" sheetId="6" r:id="rId6"/>
    <sheet name="Ice coffee" sheetId="5" r:id="rId7"/>
    <sheet name="Doppio" sheetId="12" r:id="rId8"/>
    <sheet name="Latte macchiato" sheetId="13" r:id="rId9"/>
    <sheet name="Matcha latte" sheetId="14" r:id="rId10"/>
    <sheet name="Matcha" sheetId="15" r:id="rId11"/>
    <sheet name="synthèse des marges" sheetId="7" r:id="rId12"/>
    <sheet name="Paramètres" sheetId="9" r:id="rId13"/>
  </sheets>
  <definedNames>
    <definedName name="_xlnm.Print_Area" localSheetId="5">'Café au lait'!$A$1:$E$42</definedName>
    <definedName name="_xlnm.Print_Area" localSheetId="3">'Café crème'!$A$1:$E$44</definedName>
    <definedName name="_xlnm.Print_Area" localSheetId="4">Cappuccino!$A$1:$E$42</definedName>
    <definedName name="_xlnm.Print_Area" localSheetId="7">Doppio!$A$1:$E$42</definedName>
    <definedName name="_xlnm.Print_Area" localSheetId="6">'Ice coffee'!$A$1:$O$46</definedName>
    <definedName name="_xlnm.Print_Area" localSheetId="8">'Latte macchiato'!$A$1:$E$35</definedName>
    <definedName name="_xlnm.Print_Area" localSheetId="10">Matcha!$A$1:$O$41</definedName>
    <definedName name="_xlnm.Print_Area" localSheetId="9">'Matcha latte'!$A$1:$O$46</definedName>
    <definedName name="_xlnm.Print_Area" localSheetId="2">'Matières premières'!$A$1:$H$50</definedName>
    <definedName name="_xlnm.Print_Area" localSheetId="0">Notice!$A$2:$F$95</definedName>
    <definedName name="_xlnm.Print_Area" localSheetId="11">'synthèse des marges'!$A$1:$L$22</definedName>
    <definedName name="_xlnm.Print_Area" localSheetId="1">'Table des matières'!$A$1:$G$27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7" l="1"/>
  <c r="D42" i="2"/>
  <c r="D43" i="2"/>
  <c r="D44" i="2"/>
  <c r="D45" i="2"/>
  <c r="D46" i="2"/>
  <c r="D47" i="2"/>
  <c r="D48" i="2"/>
  <c r="F42" i="2"/>
  <c r="H42" i="2" s="1"/>
  <c r="F43" i="2"/>
  <c r="F44" i="2"/>
  <c r="F45" i="2"/>
  <c r="F46" i="2"/>
  <c r="F47" i="2"/>
  <c r="F48" i="2"/>
  <c r="F49" i="2"/>
  <c r="L9" i="5"/>
  <c r="O9" i="5" s="1"/>
  <c r="L10" i="5"/>
  <c r="O10" i="5" s="1"/>
  <c r="L11" i="5"/>
  <c r="L8" i="5"/>
  <c r="G9" i="5"/>
  <c r="G10" i="5"/>
  <c r="G11" i="5"/>
  <c r="J11" i="5" s="1"/>
  <c r="G8" i="5"/>
  <c r="B9" i="6"/>
  <c r="B10" i="6"/>
  <c r="B11" i="6"/>
  <c r="E11" i="6" s="1"/>
  <c r="B9" i="4"/>
  <c r="E9" i="4" s="1"/>
  <c r="B10" i="4"/>
  <c r="B11" i="4"/>
  <c r="E11" i="4" s="1"/>
  <c r="B8" i="4"/>
  <c r="L9" i="15"/>
  <c r="L10" i="15"/>
  <c r="O10" i="15" s="1"/>
  <c r="L8" i="15"/>
  <c r="G9" i="15"/>
  <c r="G10" i="15"/>
  <c r="G8" i="15"/>
  <c r="B9" i="15"/>
  <c r="B10" i="15"/>
  <c r="E10" i="15" s="1"/>
  <c r="B8" i="15"/>
  <c r="L9" i="14"/>
  <c r="L10" i="14"/>
  <c r="O10" i="14" s="1"/>
  <c r="L11" i="14"/>
  <c r="O11" i="14" s="1"/>
  <c r="L8" i="14"/>
  <c r="G9" i="14"/>
  <c r="G10" i="14"/>
  <c r="G11" i="14"/>
  <c r="G8" i="14"/>
  <c r="B9" i="14"/>
  <c r="B10" i="14"/>
  <c r="E10" i="14" s="1"/>
  <c r="B11" i="14"/>
  <c r="B8" i="14"/>
  <c r="B9" i="13"/>
  <c r="B10" i="13"/>
  <c r="E10" i="13" s="1"/>
  <c r="B11" i="13"/>
  <c r="B8" i="13"/>
  <c r="E8" i="13" s="1"/>
  <c r="B9" i="12"/>
  <c r="B10" i="12"/>
  <c r="E10" i="12" s="1"/>
  <c r="B11" i="12"/>
  <c r="E11" i="12" s="1"/>
  <c r="B8" i="12"/>
  <c r="E8" i="12" s="1"/>
  <c r="B9" i="5"/>
  <c r="E9" i="5" s="1"/>
  <c r="B10" i="5"/>
  <c r="E10" i="5" s="1"/>
  <c r="B11" i="5"/>
  <c r="B8" i="5"/>
  <c r="B8" i="6"/>
  <c r="B9" i="3"/>
  <c r="E9" i="3" s="1"/>
  <c r="B10" i="3"/>
  <c r="B11" i="3"/>
  <c r="E11" i="3" s="1"/>
  <c r="B8" i="3"/>
  <c r="E8" i="3"/>
  <c r="H6" i="2"/>
  <c r="H14" i="2"/>
  <c r="H15" i="2"/>
  <c r="H16" i="2"/>
  <c r="H17" i="2"/>
  <c r="H18" i="2"/>
  <c r="H19" i="2"/>
  <c r="H20" i="2"/>
  <c r="H21" i="2"/>
  <c r="H23" i="2"/>
  <c r="H11" i="2"/>
  <c r="H12" i="2"/>
  <c r="H13" i="2"/>
  <c r="H9" i="2"/>
  <c r="H10" i="2"/>
  <c r="H7" i="2"/>
  <c r="H8" i="2"/>
  <c r="A1" i="6"/>
  <c r="D17" i="7"/>
  <c r="E17" i="7" s="1"/>
  <c r="D16" i="7"/>
  <c r="E16" i="7" s="1"/>
  <c r="I17" i="7"/>
  <c r="I16" i="7"/>
  <c r="I14" i="7"/>
  <c r="I13" i="7"/>
  <c r="D14" i="7"/>
  <c r="E14" i="7" s="1"/>
  <c r="D13" i="7"/>
  <c r="E13" i="7" s="1"/>
  <c r="I8" i="7"/>
  <c r="I9" i="7"/>
  <c r="D9" i="7"/>
  <c r="E9" i="7" s="1"/>
  <c r="D8" i="7"/>
  <c r="E8" i="7" s="1"/>
  <c r="O8" i="5"/>
  <c r="K1" i="5"/>
  <c r="J9" i="5"/>
  <c r="F1" i="5"/>
  <c r="A1" i="5"/>
  <c r="K1" i="14"/>
  <c r="F1" i="14"/>
  <c r="A1" i="14"/>
  <c r="J10" i="14"/>
  <c r="K1" i="15"/>
  <c r="F1" i="15"/>
  <c r="J19" i="7"/>
  <c r="F29" i="2" s="1"/>
  <c r="B3" i="9"/>
  <c r="A5" i="3" s="1"/>
  <c r="J18" i="7"/>
  <c r="I10" i="7"/>
  <c r="I15" i="7"/>
  <c r="I12" i="7"/>
  <c r="I11" i="7"/>
  <c r="I7" i="7"/>
  <c r="I6" i="7"/>
  <c r="I5" i="7"/>
  <c r="I4" i="7"/>
  <c r="D15" i="7"/>
  <c r="E15" i="7" s="1"/>
  <c r="D12" i="7"/>
  <c r="E12" i="7" s="1"/>
  <c r="D11" i="7"/>
  <c r="E11" i="7" s="1"/>
  <c r="D10" i="7"/>
  <c r="E10" i="7" s="1"/>
  <c r="D7" i="7"/>
  <c r="E7" i="7" s="1"/>
  <c r="D6" i="7"/>
  <c r="K6" i="7" s="1"/>
  <c r="D5" i="7"/>
  <c r="E5" i="7" s="1"/>
  <c r="D4" i="7"/>
  <c r="E4" i="7" s="1"/>
  <c r="A1" i="15"/>
  <c r="A1" i="13"/>
  <c r="A1" i="12"/>
  <c r="E9" i="6"/>
  <c r="A1" i="4"/>
  <c r="A1" i="3"/>
  <c r="D41" i="2"/>
  <c r="D30" i="2"/>
  <c r="D31" i="2"/>
  <c r="D32" i="2"/>
  <c r="D33" i="2"/>
  <c r="D34" i="2"/>
  <c r="D35" i="2"/>
  <c r="D36" i="2"/>
  <c r="D37" i="2"/>
  <c r="D39" i="2"/>
  <c r="D40" i="2"/>
  <c r="D29" i="2"/>
  <c r="K17" i="7" l="1"/>
  <c r="K15" i="7"/>
  <c r="K16" i="7"/>
  <c r="K9" i="7"/>
  <c r="K8" i="7"/>
  <c r="K7" i="7"/>
  <c r="K14" i="7"/>
  <c r="K13" i="7"/>
  <c r="K5" i="7"/>
  <c r="K12" i="7"/>
  <c r="K11" i="7"/>
  <c r="K4" i="7"/>
  <c r="K10" i="7"/>
  <c r="H29" i="2"/>
  <c r="F30" i="2"/>
  <c r="F31" i="2" s="1"/>
  <c r="F32" i="2" s="1"/>
  <c r="F33" i="2" s="1"/>
  <c r="F34" i="2" s="1"/>
  <c r="F35" i="2" s="1"/>
  <c r="F36" i="2" s="1"/>
  <c r="F37" i="2" s="1"/>
  <c r="F38" i="2" s="1"/>
  <c r="F39" i="2" s="1"/>
  <c r="F40" i="2" s="1"/>
  <c r="F41" i="2" s="1"/>
  <c r="J9" i="15"/>
  <c r="J9" i="14"/>
  <c r="E8" i="14"/>
  <c r="E11" i="5"/>
  <c r="O9" i="14"/>
  <c r="E9" i="12"/>
  <c r="E12" i="12" s="1"/>
  <c r="E10" i="4"/>
  <c r="E12" i="4" s="1"/>
  <c r="E9" i="13"/>
  <c r="E12" i="13" s="1"/>
  <c r="E9" i="14"/>
  <c r="J8" i="14"/>
  <c r="J12" i="14" s="1"/>
  <c r="O8" i="15"/>
  <c r="E9" i="15"/>
  <c r="O8" i="14"/>
  <c r="O12" i="14" s="1"/>
  <c r="O9" i="15"/>
  <c r="E8" i="15"/>
  <c r="J8" i="15"/>
  <c r="J11" i="14"/>
  <c r="O11" i="5"/>
  <c r="O12" i="5" s="1"/>
  <c r="J10" i="15"/>
  <c r="J10" i="5"/>
  <c r="E11" i="13"/>
  <c r="H6" i="7"/>
  <c r="E6" i="7"/>
  <c r="E18" i="7" s="1"/>
  <c r="H14" i="7"/>
  <c r="H16" i="7"/>
  <c r="H17" i="7"/>
  <c r="H8" i="7"/>
  <c r="H13" i="7"/>
  <c r="H12" i="7"/>
  <c r="H9" i="7"/>
  <c r="H11" i="7"/>
  <c r="H15" i="7"/>
  <c r="H10" i="7"/>
  <c r="H5" i="7"/>
  <c r="H7" i="7"/>
  <c r="J8" i="5"/>
  <c r="J12" i="5" s="1"/>
  <c r="E8" i="5"/>
  <c r="E8" i="4"/>
  <c r="E11" i="14"/>
  <c r="E12" i="14" s="1"/>
  <c r="D18" i="7"/>
  <c r="E10" i="6"/>
  <c r="E10" i="3"/>
  <c r="E12" i="3" s="1"/>
  <c r="E8" i="6"/>
  <c r="H4" i="7"/>
  <c r="K19" i="7" l="1"/>
  <c r="K20" i="7" s="1"/>
  <c r="H30" i="2"/>
  <c r="H31" i="2"/>
  <c r="E11" i="15"/>
  <c r="E12" i="6"/>
  <c r="E12" i="5"/>
  <c r="B7" i="7" s="1"/>
  <c r="B13" i="7"/>
  <c r="B5" i="7"/>
  <c r="O11" i="15"/>
  <c r="J11" i="15"/>
  <c r="B9" i="7"/>
  <c r="B14" i="7"/>
  <c r="H18" i="7"/>
  <c r="B6" i="7"/>
  <c r="B10" i="7"/>
  <c r="B11" i="7"/>
  <c r="B12" i="7"/>
  <c r="C38" i="2" l="1"/>
  <c r="D38" i="2" s="1"/>
  <c r="D50" i="2" s="1"/>
  <c r="C50" i="2"/>
  <c r="H32" i="2"/>
  <c r="B17" i="7"/>
  <c r="B8" i="7"/>
  <c r="B16" i="7"/>
  <c r="H33" i="2" l="1"/>
  <c r="B4" i="7"/>
  <c r="H34" i="2" l="1"/>
  <c r="H35" i="2" l="1"/>
  <c r="H36" i="2" l="1"/>
  <c r="B15" i="7"/>
  <c r="B18" i="7" s="1"/>
  <c r="H37" i="2" l="1"/>
  <c r="H38" i="2" l="1"/>
  <c r="H39" i="2" l="1"/>
  <c r="H41" i="2" l="1"/>
  <c r="H40" i="2"/>
  <c r="H50" i="2" s="1"/>
  <c r="O14" i="5" l="1"/>
  <c r="O16" i="5" s="1"/>
  <c r="O18" i="5" s="1"/>
  <c r="O14" i="14"/>
  <c r="O16" i="14" s="1"/>
  <c r="O18" i="14" s="1"/>
  <c r="J13" i="15"/>
  <c r="J15" i="15" s="1"/>
  <c r="J17" i="15" s="1"/>
  <c r="B5" i="9"/>
  <c r="J14" i="14"/>
  <c r="J16" i="14" s="1"/>
  <c r="J18" i="14" s="1"/>
  <c r="D2" i="7"/>
  <c r="J14" i="5"/>
  <c r="J16" i="5" s="1"/>
  <c r="J18" i="5" s="1"/>
  <c r="E14" i="5"/>
  <c r="E16" i="5" s="1"/>
  <c r="E18" i="5" s="1"/>
  <c r="O13" i="15"/>
  <c r="O15" i="15" s="1"/>
  <c r="O17" i="15" s="1"/>
  <c r="E14" i="4"/>
  <c r="E16" i="4" s="1"/>
  <c r="E18" i="4" s="1"/>
  <c r="E14" i="12"/>
  <c r="E16" i="12" s="1"/>
  <c r="E18" i="12" s="1"/>
  <c r="E13" i="15"/>
  <c r="E15" i="15" s="1"/>
  <c r="E17" i="15" s="1"/>
  <c r="E14" i="6"/>
  <c r="E16" i="6" s="1"/>
  <c r="E18" i="6" s="1"/>
  <c r="E14" i="14"/>
  <c r="E16" i="14" s="1"/>
  <c r="E18" i="14" s="1"/>
  <c r="E14" i="3"/>
  <c r="E16" i="3" s="1"/>
  <c r="E18" i="3" s="1"/>
  <c r="E14" i="13"/>
  <c r="E16" i="13" s="1"/>
  <c r="E18" i="13" s="1"/>
  <c r="E19" i="5" l="1"/>
  <c r="F7" i="7"/>
  <c r="L7" i="7" s="1"/>
  <c r="E19" i="3"/>
  <c r="F4" i="7"/>
  <c r="J19" i="5"/>
  <c r="F8" i="7"/>
  <c r="L8" i="7" s="1"/>
  <c r="F12" i="7"/>
  <c r="L12" i="7" s="1"/>
  <c r="E19" i="14"/>
  <c r="F13" i="7"/>
  <c r="L13" i="7" s="1"/>
  <c r="J19" i="14"/>
  <c r="C5" i="7"/>
  <c r="C14" i="7"/>
  <c r="C12" i="7"/>
  <c r="C11" i="7"/>
  <c r="C13" i="7"/>
  <c r="C7" i="7"/>
  <c r="C10" i="7"/>
  <c r="C9" i="7"/>
  <c r="C6" i="7"/>
  <c r="C17" i="7"/>
  <c r="C16" i="7"/>
  <c r="C8" i="7"/>
  <c r="C4" i="7"/>
  <c r="C15" i="7"/>
  <c r="F10" i="7"/>
  <c r="L10" i="7" s="1"/>
  <c r="E19" i="12"/>
  <c r="F16" i="7"/>
  <c r="L16" i="7" s="1"/>
  <c r="J18" i="15"/>
  <c r="F11" i="7"/>
  <c r="L11" i="7" s="1"/>
  <c r="E19" i="13"/>
  <c r="F15" i="7"/>
  <c r="L15" i="7" s="1"/>
  <c r="E18" i="15"/>
  <c r="E19" i="4"/>
  <c r="F5" i="7"/>
  <c r="L5" i="7" s="1"/>
  <c r="O19" i="14"/>
  <c r="F14" i="7"/>
  <c r="L14" i="7" s="1"/>
  <c r="E19" i="6"/>
  <c r="F6" i="7"/>
  <c r="L6" i="7" s="1"/>
  <c r="O18" i="15"/>
  <c r="F17" i="7"/>
  <c r="L17" i="7" s="1"/>
  <c r="O19" i="5"/>
  <c r="F9" i="7"/>
  <c r="L9" i="7" s="1"/>
  <c r="G9" i="7" l="1"/>
  <c r="O21" i="5"/>
  <c r="E21" i="4"/>
  <c r="G5" i="7"/>
  <c r="E21" i="14"/>
  <c r="G12" i="7"/>
  <c r="G11" i="7"/>
  <c r="E21" i="13"/>
  <c r="G16" i="7"/>
  <c r="J20" i="15"/>
  <c r="L4" i="7"/>
  <c r="L19" i="7" s="1"/>
  <c r="L20" i="7" s="1"/>
  <c r="F18" i="7"/>
  <c r="E20" i="15"/>
  <c r="G15" i="7"/>
  <c r="O20" i="15"/>
  <c r="G17" i="7"/>
  <c r="E21" i="6"/>
  <c r="G6" i="7"/>
  <c r="J21" i="5"/>
  <c r="G8" i="7"/>
  <c r="O21" i="14"/>
  <c r="G14" i="7"/>
  <c r="E21" i="3"/>
  <c r="G4" i="7"/>
  <c r="E21" i="12"/>
  <c r="G10" i="7"/>
  <c r="J21" i="14"/>
  <c r="G13" i="7"/>
  <c r="E21" i="5"/>
  <c r="G7" i="7"/>
  <c r="G21" i="7" l="1"/>
  <c r="G22" i="7"/>
  <c r="G18" i="7"/>
</calcChain>
</file>

<file path=xl/sharedStrings.xml><?xml version="1.0" encoding="utf-8"?>
<sst xmlns="http://schemas.openxmlformats.org/spreadsheetml/2006/main" count="399" uniqueCount="165">
  <si>
    <t>PRIX DE REVIENT</t>
  </si>
  <si>
    <t>PRIX DE VENTE</t>
  </si>
  <si>
    <t>BÉNÉFICE BRUT</t>
  </si>
  <si>
    <t>MARGE BRUTE (%)</t>
  </si>
  <si>
    <t>Lait</t>
  </si>
  <si>
    <t>roduit brute</t>
  </si>
  <si>
    <t xml:space="preserve">Sucre </t>
  </si>
  <si>
    <t>Créme</t>
  </si>
  <si>
    <t>sirop de canne</t>
  </si>
  <si>
    <t>Café Utopia</t>
  </si>
  <si>
    <t>Café Torpedo</t>
  </si>
  <si>
    <t>serviette</t>
  </si>
  <si>
    <t>touyette</t>
  </si>
  <si>
    <t>goblet en carton</t>
  </si>
  <si>
    <t>paille</t>
  </si>
  <si>
    <t>sirop</t>
  </si>
  <si>
    <t>Sirop aromatisé</t>
  </si>
  <si>
    <t>Charge fixe</t>
  </si>
  <si>
    <t xml:space="preserve">Loyer </t>
  </si>
  <si>
    <t>charge</t>
  </si>
  <si>
    <t>charge locative</t>
  </si>
  <si>
    <t>elécticité</t>
  </si>
  <si>
    <t>Leasing machine a café</t>
  </si>
  <si>
    <t>salaire</t>
  </si>
  <si>
    <t xml:space="preserve">Amotissement </t>
  </si>
  <si>
    <t>entretien materiel</t>
  </si>
  <si>
    <t>Charge salarial</t>
  </si>
  <si>
    <t>comptabilité</t>
  </si>
  <si>
    <t xml:space="preserve">frais banquaire </t>
  </si>
  <si>
    <t>Marketing</t>
  </si>
  <si>
    <t>Abonement</t>
  </si>
  <si>
    <t>Charge</t>
  </si>
  <si>
    <t>g</t>
  </si>
  <si>
    <t>Cout mensuel</t>
  </si>
  <si>
    <t>Cout annuel</t>
  </si>
  <si>
    <t>estimation de vente</t>
  </si>
  <si>
    <t>Charge par café</t>
  </si>
  <si>
    <t>Café créme</t>
  </si>
  <si>
    <t>unité par café standar</t>
  </si>
  <si>
    <t>Cout pour 1</t>
  </si>
  <si>
    <t>Total matiere premiere</t>
  </si>
  <si>
    <t>Cappuccino</t>
  </si>
  <si>
    <t>poudre de chocolat</t>
  </si>
  <si>
    <t>ice coffe latte</t>
  </si>
  <si>
    <t>Renversé/café au lait</t>
  </si>
  <si>
    <t>Perte</t>
  </si>
  <si>
    <t>Glacon</t>
  </si>
  <si>
    <t>Taux de TVA</t>
  </si>
  <si>
    <t>Change euro</t>
  </si>
  <si>
    <t>Synthèse des marges</t>
  </si>
  <si>
    <t>Produit</t>
  </si>
  <si>
    <t>Coût matière (CHF)</t>
  </si>
  <si>
    <t>Marge brute (CHF)</t>
  </si>
  <si>
    <t>Taux de marge (%)</t>
  </si>
  <si>
    <t>Prix de vente</t>
  </si>
  <si>
    <t>Sirop de canne</t>
  </si>
  <si>
    <t>Poudre de chocolat</t>
  </si>
  <si>
    <t>Doppio</t>
  </si>
  <si>
    <t>Café torpedo</t>
  </si>
  <si>
    <t>créme</t>
  </si>
  <si>
    <t>Café utopia</t>
  </si>
  <si>
    <t>Latte Macchiato</t>
  </si>
  <si>
    <t>Matcha</t>
  </si>
  <si>
    <t>Matcha latte</t>
  </si>
  <si>
    <t>Eau</t>
  </si>
  <si>
    <t>TVA (CHF)</t>
  </si>
  <si>
    <t>date</t>
  </si>
  <si>
    <t>estimation par mois</t>
  </si>
  <si>
    <t>Marge a plus de 50 %</t>
  </si>
  <si>
    <t>Marge a moin de 50%</t>
  </si>
  <si>
    <t xml:space="preserve">Moyenne </t>
  </si>
  <si>
    <t>Total par mois</t>
  </si>
  <si>
    <t>3dl</t>
  </si>
  <si>
    <t>4dl</t>
  </si>
  <si>
    <t>5dl</t>
  </si>
  <si>
    <t>3Dl</t>
  </si>
  <si>
    <t>4Dl</t>
  </si>
  <si>
    <t>5Dl</t>
  </si>
  <si>
    <t>Prix pour une marge a 50%</t>
  </si>
  <si>
    <t>Profit entreprise</t>
  </si>
  <si>
    <t>Paramètres</t>
  </si>
  <si>
    <t>Matières premières</t>
  </si>
  <si>
    <t>Café crème</t>
  </si>
  <si>
    <t>Café au lait</t>
  </si>
  <si>
    <t>Ice coffee</t>
  </si>
  <si>
    <t>Latte macchiato</t>
  </si>
  <si>
    <t>Table des matières</t>
  </si>
  <si>
    <t>Prix en Euro</t>
  </si>
  <si>
    <t>total des chargse fixes</t>
  </si>
  <si>
    <t xml:space="preserve">Devise </t>
  </si>
  <si>
    <t>CHF</t>
  </si>
  <si>
    <t>Matière première</t>
  </si>
  <si>
    <t>Quantité par café</t>
  </si>
  <si>
    <t>Unité</t>
  </si>
  <si>
    <t>Coût unitaire</t>
  </si>
  <si>
    <t>Pour 1 unité</t>
  </si>
  <si>
    <t>charge toral</t>
  </si>
  <si>
    <t>Charge fixes</t>
  </si>
  <si>
    <t>Pistache</t>
  </si>
  <si>
    <t>Fournisseur</t>
  </si>
  <si>
    <t>Utopia</t>
  </si>
  <si>
    <t>Torpedo</t>
  </si>
  <si>
    <t>RMC</t>
  </si>
  <si>
    <t>Transgourmets</t>
  </si>
  <si>
    <t>Morand</t>
  </si>
  <si>
    <t>Marta choclat</t>
  </si>
  <si>
    <t>just green</t>
  </si>
  <si>
    <t>touthé</t>
  </si>
  <si>
    <t>Crème fraiche</t>
  </si>
  <si>
    <t>Prix pour 1000</t>
  </si>
  <si>
    <t>pour 1000</t>
  </si>
  <si>
    <t>charge sum up</t>
  </si>
  <si>
    <t>charge twint</t>
  </si>
  <si>
    <t>chiffre d'affaire</t>
  </si>
  <si>
    <t>à</t>
  </si>
  <si>
    <t>🔒 Sécurité &amp; Protection</t>
  </si>
  <si>
    <t>Toutes les feuilles sont verrouillées afin d’éviter les erreurs.
➡️ Pour déverrouiller : Révision &gt; Ôter la protection (aucun mot de passe requis).
⚠️ Reverrouillez après vos modifications pour préserver les calculs.</t>
  </si>
  <si>
    <t>🗂️ Structure du document</t>
  </si>
  <si>
    <t>Section</t>
  </si>
  <si>
    <t>Contenu</t>
  </si>
  <si>
    <t>1️⃣ Table des matières</t>
  </si>
  <si>
    <t>Navigation rapide entre les feuilles</t>
  </si>
  <si>
    <t>2️⃣ Matières premières</t>
  </si>
  <si>
    <t>Ingrédients, coûts, fournisseurs</t>
  </si>
  <si>
    <t>3️⃣ Recettes &amp; Prix de revient</t>
  </si>
  <si>
    <t>Liste ingrédients + calcul automatique du coût</t>
  </si>
  <si>
    <t>4️⃣ Synthèse des marges</t>
  </si>
  <si>
    <t>Vue globale : coût, prix de vente, marge</t>
  </si>
  <si>
    <t>5️⃣ Paramètres</t>
  </si>
  <si>
    <t>Variables globales (TVA, coefficients)</t>
  </si>
  <si>
    <t>🆕 Créer un nouveau produit</t>
  </si>
  <si>
    <t>⚠️ Points critiques :
• Orthographe exacte des ingrédients = clé pour les calculs.
• Respecter les unités (ml, g, pièce).
• Ne pas modifier les cellules grisées/verrouillées.</t>
  </si>
  <si>
    <t>✅ Contrôles qualité</t>
  </si>
  <si>
    <t>☑ Produit présent dans la synthèse
☑ Pas d’erreurs (#N/A, #REF!)
☑ Ingrédients valides dans la base
☑ Prix de vente cohérent avec paramètres
☑ Marge positive
☑ Feuilles reverrouillées après modification</t>
  </si>
  <si>
    <t>🗃️ Maintenance des données</t>
  </si>
  <si>
    <t>• Mettre à jour les prix fournisseurs dans *Matières premières*.
• Ajuster TVA et coefficients dans *Paramètres*.
• Sauvegarder une copie mensuelle du fichier.
• Reverrouiller les feuilles sensibles après modification.</t>
  </si>
  <si>
    <t>1️⃣ Allez sur l'onglet "Automatisation" dans le ruban supérieur.
   toucher " Tous les Scripts" et exécutez le script "nouvelle page".
   Le script créera une nouvelle page et une ligne dans la feuille 
   "Synthèse des marges".                                                                                                         
2️⃣ Allez dans la feuille "Synthèse des marges" et donnez un nom à votre nouveau produit. La page se renommera automatiquement.
3️⃣ Dans la nouvelle feuille produit :
   • Remplacez les ingrédients.
   • Vérifiez l’orthographe exacte.
   • Ajustez les quantités.
4️⃣ Les coûts &amp; marges se recalculent automatiquement ✅.</t>
  </si>
  <si>
    <t>Notice d'utilisation</t>
  </si>
  <si>
    <t xml:space="preserve">Notice </t>
  </si>
  <si>
    <t>1. La configuration initiale</t>
  </si>
  <si>
    <t>Pour commencer à utiliser le fichier, vous devez d'abord configurer vos données de base.</t>
  </si>
  <si>
    <t>Feuille "Paramètres"</t>
  </si>
  <si>
    <t>Ouvrez cette feuille pour définir vos paramètres généraux :</t>
  </si>
  <si>
    <t>Feuille "Matières premières"</t>
  </si>
  <si>
    <t>C'est votre base de données pour tous vos ingrédients. Remplissez les informations dans les colonnes prévues :</t>
  </si>
  <si>
    <r>
      <t>Taux de TVA</t>
    </r>
    <r>
      <rPr>
        <sz val="9"/>
        <color rgb="FF000000"/>
        <rFont val="Calibri"/>
        <family val="2"/>
        <scheme val="minor"/>
      </rPr>
      <t> : Entrez le taux de TVA applicable, actuellement </t>
    </r>
    <r>
      <rPr>
        <b/>
        <sz val="9"/>
        <color rgb="FF000000"/>
        <rFont val="Calibri"/>
        <family val="2"/>
        <scheme val="minor"/>
      </rPr>
      <t>0,081</t>
    </r>
    <r>
      <rPr>
        <sz val="9"/>
        <color rgb="FF000000"/>
        <rFont val="Calibri"/>
        <family val="2"/>
        <scheme val="minor"/>
      </rPr>
      <t>.</t>
    </r>
  </si>
  <si>
    <r>
      <t>Change euro</t>
    </r>
    <r>
      <rPr>
        <sz val="9"/>
        <color rgb="FF000000"/>
        <rFont val="Calibri"/>
        <family val="2"/>
        <scheme val="minor"/>
      </rPr>
      <t> : Si vous utilisez l'euro, entrez le taux de change, qui est de </t>
    </r>
    <r>
      <rPr>
        <b/>
        <sz val="9"/>
        <color rgb="FF000000"/>
        <rFont val="Calibri"/>
        <family val="2"/>
        <scheme val="minor"/>
      </rPr>
      <t>0,95</t>
    </r>
    <r>
      <rPr>
        <sz val="9"/>
        <color rgb="FF000000"/>
        <rFont val="Calibri"/>
        <family val="2"/>
        <scheme val="minor"/>
      </rPr>
      <t>.</t>
    </r>
  </si>
  <si>
    <r>
      <t>Charges fixes</t>
    </r>
    <r>
      <rPr>
        <sz val="9"/>
        <color rgb="FF000000"/>
        <rFont val="Calibri"/>
        <family val="2"/>
        <scheme val="minor"/>
      </rPr>
      <t> : Le coût de vos charges fixes par café est calculé automatiquement à </t>
    </r>
    <r>
      <rPr>
        <b/>
        <sz val="9"/>
        <color rgb="FF000000"/>
        <rFont val="Calibri"/>
        <family val="2"/>
        <scheme val="minor"/>
      </rPr>
      <t>2,84 CHF</t>
    </r>
    <r>
      <rPr>
        <sz val="9"/>
        <color rgb="FF000000"/>
        <rFont val="Calibri"/>
        <family val="2"/>
        <scheme val="minor"/>
      </rPr>
      <t> et se met à jour en fonction des données que vous entrez sur la page "Matières premières".</t>
    </r>
  </si>
  <si>
    <t>modifier une recette</t>
  </si>
  <si>
    <t>Ouvrez la feuille du produit que vous souhaitez calculer.</t>
  </si>
  <si>
    <r>
      <t>Pour chaque produit, il existe une feuille de calcul dédiée (ex : </t>
    </r>
    <r>
      <rPr>
        <b/>
        <sz val="9"/>
        <color rgb="FF000000"/>
        <rFont val="Calibri"/>
        <family val="2"/>
        <scheme val="minor"/>
      </rPr>
      <t>"Café crème"</t>
    </r>
    <r>
      <rPr>
        <sz val="9"/>
        <color rgb="FF000000"/>
        <rFont val="Calibri"/>
        <family val="2"/>
        <scheme val="minor"/>
      </rPr>
      <t>, </t>
    </r>
    <r>
      <rPr>
        <b/>
        <sz val="9"/>
        <color rgb="FF000000"/>
        <rFont val="Calibri"/>
        <family val="2"/>
        <scheme val="minor"/>
      </rPr>
      <t>"Cappuccino"</t>
    </r>
    <r>
      <rPr>
        <sz val="9"/>
        <color rgb="FF000000"/>
        <rFont val="Calibri"/>
        <family val="2"/>
        <scheme val="minor"/>
      </rPr>
      <t>).</t>
    </r>
  </si>
  <si>
    <r>
      <t>Dans la colonne </t>
    </r>
    <r>
      <rPr>
        <b/>
        <sz val="9"/>
        <color rgb="FF000000"/>
        <rFont val="Calibri"/>
        <family val="2"/>
        <scheme val="minor"/>
      </rPr>
      <t>"Quantité par café"</t>
    </r>
    <r>
      <rPr>
        <sz val="9"/>
        <color rgb="FF000000"/>
        <rFont val="Calibri"/>
        <family val="2"/>
        <scheme val="minor"/>
      </rPr>
      <t>, entrez la quantité de chaque ingrédient nécessaire pour cette recette. </t>
    </r>
    <r>
      <rPr>
        <b/>
        <sz val="9"/>
        <color rgb="FF000000"/>
        <rFont val="Calibri"/>
        <family val="2"/>
        <scheme val="minor"/>
      </rPr>
      <t>C'est la seule valeur que vous avez besoin de modifier.</t>
    </r>
  </si>
  <si>
    <r>
      <t>Le </t>
    </r>
    <r>
      <rPr>
        <b/>
        <sz val="9"/>
        <color rgb="FF000000"/>
        <rFont val="Calibri"/>
        <family val="2"/>
        <scheme val="minor"/>
      </rPr>
      <t>"Coût unitaire"</t>
    </r>
    <r>
      <rPr>
        <sz val="9"/>
        <color rgb="FF000000"/>
        <rFont val="Calibri"/>
        <family val="2"/>
        <scheme val="minor"/>
      </rPr>
      <t>, le </t>
    </r>
    <r>
      <rPr>
        <b/>
        <sz val="9"/>
        <color rgb="FF000000"/>
        <rFont val="Calibri"/>
        <family val="2"/>
        <scheme val="minor"/>
      </rPr>
      <t>"Total matière première"</t>
    </r>
    <r>
      <rPr>
        <sz val="9"/>
        <color rgb="FF000000"/>
        <rFont val="Calibri"/>
        <family val="2"/>
        <scheme val="minor"/>
      </rPr>
      <t> et le </t>
    </r>
    <r>
      <rPr>
        <b/>
        <sz val="9"/>
        <color rgb="FF000000"/>
        <rFont val="Calibri"/>
        <family val="2"/>
        <scheme val="minor"/>
      </rPr>
      <t>"Prix de revient"</t>
    </r>
    <r>
      <rPr>
        <sz val="9"/>
        <color rgb="FF000000"/>
        <rFont val="Calibri"/>
        <family val="2"/>
        <scheme val="minor"/>
      </rPr>
      <t> sont calculés automatiquement.</t>
    </r>
  </si>
  <si>
    <t>Feuille "Synthèse des marges"</t>
  </si>
  <si>
    <t>Cette feuille sert de tableau de bord. Elle se met à jour automatiquement avec les informations de vos recettes.</t>
  </si>
  <si>
    <r>
      <t>Prix pour 1000</t>
    </r>
    <r>
      <rPr>
        <sz val="9"/>
        <color rgb="FF000000"/>
        <rFont val="Calibri"/>
        <family val="2"/>
        <scheme val="minor"/>
      </rPr>
      <t> : Le prix que vous payez pour 1000 unités de cet ingrédient.</t>
    </r>
  </si>
  <si>
    <r>
      <t>Unité par café standard</t>
    </r>
    <r>
      <rPr>
        <sz val="9"/>
        <color rgb="FF000000"/>
        <rFont val="Calibri"/>
        <family val="2"/>
        <scheme val="minor"/>
      </rPr>
      <t> : La quantité de chaque ingrédient que vous utilisez pour un "café standard".</t>
    </r>
  </si>
  <si>
    <r>
      <t>Le </t>
    </r>
    <r>
      <rPr>
        <b/>
        <sz val="9"/>
        <color rgb="FF000000"/>
        <rFont val="Calibri"/>
        <family val="2"/>
        <scheme val="minor"/>
      </rPr>
      <t>"Cout pour 1"</t>
    </r>
    <r>
      <rPr>
        <sz val="9"/>
        <color rgb="FF000000"/>
        <rFont val="Calibri"/>
        <family val="2"/>
        <scheme val="minor"/>
      </rPr>
      <t> est calculé automatiquement, ce qui permet au fichier de connaître le coût de chaque gramme ou ml d'ingrédient.</t>
    </r>
  </si>
  <si>
    <r>
      <t>Prix de revient</t>
    </r>
    <r>
      <rPr>
        <sz val="9"/>
        <color rgb="FF000000"/>
        <rFont val="Calibri"/>
        <family val="2"/>
        <scheme val="minor"/>
      </rPr>
      <t> : C'est le coût total d'un produit, incluant les matières premières et les charges fixes.</t>
    </r>
  </si>
  <si>
    <r>
      <t>Marge brute</t>
    </r>
    <r>
      <rPr>
        <sz val="9"/>
        <color rgb="FF000000"/>
        <rFont val="Calibri"/>
        <family val="2"/>
        <scheme val="minor"/>
      </rPr>
      <t> : Le bénéfice réalisé sur une vente après déduction des coûts de matière première et des charges fixes.</t>
    </r>
  </si>
  <si>
    <r>
      <t>Taux de marge (%)</t>
    </r>
    <r>
      <rPr>
        <sz val="9"/>
        <color rgb="FF000000"/>
        <rFont val="Calibri"/>
        <family val="2"/>
        <scheme val="minor"/>
      </rPr>
      <t> : La marge brute exprimée en pourcentage du prix de vente. Cet indicateur est très utile pour comparer la rentabilité de vos produits.</t>
    </r>
  </si>
  <si>
    <r>
      <t>Fixer vos prix de vente</t>
    </r>
    <r>
      <rPr>
        <sz val="9"/>
        <color rgb="FF000000"/>
        <rFont val="Calibri"/>
        <family val="2"/>
        <scheme val="minor"/>
      </rPr>
      <t> : Sur chaque page de produit, vous trouverez le </t>
    </r>
    <r>
      <rPr>
        <b/>
        <sz val="9"/>
        <color rgb="FF000000"/>
        <rFont val="Calibri"/>
        <family val="2"/>
        <scheme val="minor"/>
      </rPr>
      <t>"Prix pour une marge à 50%"</t>
    </r>
    <r>
      <rPr>
        <sz val="9"/>
        <color rgb="FF000000"/>
        <rFont val="Calibri"/>
        <family val="2"/>
        <scheme val="minor"/>
      </rPr>
      <t>, qui vous sert de repère pour vous aider à fixer des prix justes et rentables.</t>
    </r>
  </si>
  <si>
    <r>
      <t>Estimer vos bénéfices</t>
    </r>
    <r>
      <rPr>
        <sz val="9"/>
        <color rgb="FF000000"/>
        <rFont val="Calibri"/>
        <family val="2"/>
        <scheme val="minor"/>
      </rPr>
      <t> : La colonne </t>
    </r>
    <r>
      <rPr>
        <b/>
        <sz val="9"/>
        <color rgb="FF000000"/>
        <rFont val="Calibri"/>
        <family val="2"/>
        <scheme val="minor"/>
      </rPr>
      <t>"estimation par mois"</t>
    </r>
    <r>
      <rPr>
        <sz val="9"/>
        <color rgb="FF000000"/>
        <rFont val="Calibri"/>
        <family val="2"/>
        <scheme val="minor"/>
      </rPr>
      <t> vous permet d'entrer le nombre de ventes estimé pour chaque produit. Cela met à jour automatiquement le </t>
    </r>
    <r>
      <rPr>
        <b/>
        <sz val="9"/>
        <color rgb="FF000000"/>
        <rFont val="Calibri"/>
        <family val="2"/>
        <scheme val="minor"/>
      </rPr>
      <t>"chiffre d'affaire"</t>
    </r>
    <r>
      <rPr>
        <sz val="9"/>
        <color rgb="FF000000"/>
        <rFont val="Calibri"/>
        <family val="2"/>
        <scheme val="minor"/>
      </rPr>
      <t> et le </t>
    </r>
    <r>
      <rPr>
        <b/>
        <sz val="9"/>
        <color rgb="FF000000"/>
        <rFont val="Calibri"/>
        <family val="2"/>
        <scheme val="minor"/>
      </rPr>
      <t>"Profit entreprise"</t>
    </r>
    <r>
      <rPr>
        <sz val="9"/>
        <color rgb="FF000000"/>
        <rFont val="Calibri"/>
        <family val="2"/>
        <scheme val="minor"/>
      </rPr>
      <t>, vous donnant une projection de vos revenus et de vos bénéfices mensuels.</t>
    </r>
  </si>
  <si>
    <r>
      <t>Mise à jour régulière</t>
    </r>
    <r>
      <rPr>
        <sz val="12"/>
        <color rgb="FF000000"/>
        <rFont val="Calibri"/>
        <family val="2"/>
        <scheme val="minor"/>
      </rPr>
      <t> : Pour des calculs précis, mettez à jour régulièrement le prix de vos matières premières dans la feuille dédiée.</t>
    </r>
  </si>
  <si>
    <t>facteur de developpement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</si>
</sst>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7">
    <font>
      <sz val="11"/>
      <color theme="1"/>
      <name val="Calibri"/>
      <family val="2"/>
      <scheme val="minor"/>
    </font>
    <font>
      <sz val="11"/>
      <color rgb="FF000000"/>
      <name val="Calibri"/>
      <family val="2"/>
      <scheme val="minor"/>
    </font>
    <font>
      <sz val="14"/>
      <color rgb="FF000000"/>
      <name val="-webkit-standard"/>
    </font>
    <font>
      <b/>
      <sz val="14"/>
      <name val="Calibri"/>
      <family val="2"/>
    </font>
    <font>
      <b/>
      <sz val="11"/>
      <name val="Calibri"/>
      <family val="2"/>
    </font>
    <font>
      <b/>
      <sz val="11"/>
      <color rgb="FF000000"/>
      <name val="Calibri"/>
      <family val="2"/>
      <scheme val="minor"/>
    </font>
    <font>
      <b/>
      <sz val="11"/>
      <color theme="1"/>
      <name val="Calibri"/>
      <family val="2"/>
      <scheme val="minor"/>
    </font>
    <font>
      <sz val="11"/>
      <color rgb="FF000000"/>
      <name val="-webkit-standard"/>
    </font>
    <font>
      <sz val="11"/>
      <color theme="1"/>
      <name val="Calibri"/>
      <family val="2"/>
      <scheme val="minor"/>
    </font>
    <font>
      <u/>
      <sz val="11"/>
      <color theme="10"/>
      <name val="Calibri"/>
      <family val="2"/>
      <scheme val="minor"/>
    </font>
    <font>
      <sz val="26"/>
      <color theme="1"/>
      <name val="Calibri"/>
      <family val="2"/>
      <scheme val="minor"/>
    </font>
    <font>
      <u/>
      <sz val="26"/>
      <color theme="10"/>
      <name val="Calibri"/>
      <family val="2"/>
      <scheme val="minor"/>
    </font>
    <font>
      <b/>
      <sz val="20"/>
      <color theme="1"/>
      <name val="Calibri"/>
      <family val="2"/>
      <scheme val="minor"/>
    </font>
    <font>
      <sz val="20"/>
      <color theme="1"/>
      <name val="Calibri"/>
      <family val="2"/>
      <scheme val="minor"/>
    </font>
    <font>
      <u/>
      <sz val="20"/>
      <color theme="10"/>
      <name val="Calibri"/>
      <family val="2"/>
      <scheme val="minor"/>
    </font>
    <font>
      <sz val="16"/>
      <color theme="1"/>
      <name val="Calibri"/>
      <family val="2"/>
      <scheme val="minor"/>
    </font>
    <font>
      <b/>
      <sz val="24"/>
      <color theme="1"/>
      <name val="Calibri"/>
      <family val="2"/>
      <scheme val="minor"/>
    </font>
    <font>
      <b/>
      <sz val="24"/>
      <color rgb="FF000000"/>
      <name val="Calibri"/>
      <family val="2"/>
      <scheme val="minor"/>
    </font>
    <font>
      <b/>
      <sz val="12"/>
      <color rgb="FF000000"/>
      <name val="Calibri"/>
      <family val="2"/>
      <scheme val="minor"/>
    </font>
    <font>
      <sz val="12"/>
      <color rgb="FF000000"/>
      <name val="Calibri"/>
      <family val="2"/>
      <scheme val="minor"/>
    </font>
    <font>
      <sz val="9"/>
      <color rgb="FF000000"/>
      <name val="Calibri"/>
      <family val="2"/>
      <scheme val="minor"/>
    </font>
    <font>
      <b/>
      <sz val="9"/>
      <color rgb="FF000000"/>
      <name val="Calibri"/>
      <family val="2"/>
      <scheme val="minor"/>
    </font>
    <font>
      <sz val="9"/>
      <color theme="1"/>
      <name val="Calibri"/>
      <family val="2"/>
      <scheme val="minor"/>
    </font>
    <font>
      <b/>
      <sz val="14"/>
      <color rgb="FFFFFFFF"/>
      <name val="Calibri"/>
      <family val="2"/>
      <scheme val="minor"/>
    </font>
    <font>
      <sz val="11"/>
      <name val="Calibri"/>
      <family val="2"/>
      <scheme val="minor"/>
    </font>
    <font>
      <b/>
      <sz val="11"/>
      <color rgb="FFFFFFFF"/>
      <name val="Calibri"/>
      <family val="2"/>
      <scheme val="minor"/>
    </font>
    <font>
      <b/>
      <sz val="11"/>
      <name val="Calibri"/>
      <family val="2"/>
      <scheme val="minor"/>
    </font>
  </fonts>
  <fills count="13">
    <fill>
      <patternFill patternType="none"/>
    </fill>
    <fill>
      <patternFill patternType="gray125"/>
    </fill>
    <fill>
      <patternFill patternType="solid">
        <fgColor rgb="FFDDD9C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bgColor indexed="64"/>
      </patternFill>
    </fill>
    <fill>
      <patternFill patternType="solid">
        <fgColor theme="2" tint="-9.9978637043366805E-2"/>
        <bgColor indexed="64"/>
      </patternFill>
    </fill>
    <fill>
      <patternFill patternType="solid">
        <fgColor rgb="FF4472C4"/>
        <bgColor rgb="FF4472C4"/>
      </patternFill>
    </fill>
    <fill>
      <patternFill patternType="solid">
        <fgColor rgb="FFD9E1F2"/>
        <bgColor rgb="FFD9E1F2"/>
      </patternFill>
    </fill>
    <fill>
      <patternFill patternType="solid">
        <fgColor rgb="FF70AD47"/>
        <bgColor rgb="FF70AD47"/>
      </patternFill>
    </fill>
    <fill>
      <patternFill patternType="solid">
        <fgColor rgb="FFF4B084"/>
        <bgColor rgb="FFF4B084"/>
      </patternFill>
    </fill>
    <fill>
      <patternFill patternType="solid">
        <fgColor theme="0"/>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999999"/>
      </left>
      <right style="thin">
        <color rgb="FF999999"/>
      </right>
      <top style="thin">
        <color rgb="FF999999"/>
      </top>
      <bottom style="thin">
        <color rgb="FF999999"/>
      </bottom>
      <diagonal/>
    </border>
    <border>
      <left/>
      <right/>
      <top style="thin">
        <color indexed="64"/>
      </top>
      <bottom/>
      <diagonal/>
    </border>
    <border>
      <left/>
      <right/>
      <top/>
      <bottom style="thin">
        <color indexed="64"/>
      </bottom>
      <diagonal/>
    </border>
    <border>
      <left style="thin">
        <color rgb="FF999999"/>
      </left>
      <right style="thin">
        <color rgb="FF999999"/>
      </right>
      <top style="thin">
        <color rgb="FF999999"/>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999999"/>
      </right>
      <top style="thin">
        <color rgb="FF999999"/>
      </top>
      <bottom style="thin">
        <color rgb="FF999999"/>
      </bottom>
      <diagonal/>
    </border>
    <border>
      <left style="thin">
        <color rgb="FF999999"/>
      </left>
      <right style="thin">
        <color rgb="FF999999"/>
      </right>
      <top/>
      <bottom/>
      <diagonal/>
    </border>
    <border>
      <left style="thin">
        <color rgb="FF999999"/>
      </left>
      <right/>
      <top/>
      <bottom/>
      <diagonal/>
    </border>
    <border>
      <left style="thin">
        <color indexed="64"/>
      </left>
      <right/>
      <top style="medium">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808080"/>
      </left>
      <right/>
      <top/>
      <bottom/>
      <diagonal/>
    </border>
    <border>
      <left style="thin">
        <color rgb="FF808080"/>
      </left>
      <right/>
      <top style="thin">
        <color rgb="FF808080"/>
      </top>
      <bottom/>
      <diagonal/>
    </border>
    <border>
      <left/>
      <right style="thin">
        <color rgb="FF808080"/>
      </right>
      <top style="thin">
        <color rgb="FF808080"/>
      </top>
      <bottom/>
      <diagonal/>
    </border>
    <border>
      <left/>
      <right style="thin">
        <color rgb="FF808080"/>
      </right>
      <top/>
      <bottom/>
      <diagonal/>
    </border>
    <border>
      <left style="thin">
        <color rgb="FF808080"/>
      </left>
      <right/>
      <top/>
      <bottom style="thin">
        <color rgb="FF808080"/>
      </bottom>
      <diagonal/>
    </border>
    <border>
      <left/>
      <right style="thin">
        <color rgb="FF808080"/>
      </right>
      <top/>
      <bottom style="thin">
        <color rgb="FF808080"/>
      </bottom>
      <diagonal/>
    </border>
    <border>
      <left/>
      <right/>
      <top style="medium">
        <color indexed="64"/>
      </top>
      <bottom style="thin">
        <color indexed="64"/>
      </bottom>
      <diagonal/>
    </border>
  </borders>
  <cellStyleXfs count="3">
    <xf numFmtId="0" fontId="0" fillId="0" borderId="0"/>
    <xf numFmtId="9" fontId="8" fillId="0" borderId="0" applyFont="0" applyFill="0" applyBorder="0" applyAlignment="0" applyProtection="0"/>
    <xf numFmtId="0" fontId="9" fillId="0" borderId="0" applyNumberFormat="0" applyFill="0" applyBorder="0" applyAlignment="0" applyProtection="0"/>
  </cellStyleXfs>
  <cellXfs count="110">
    <xf numFmtId="0" fontId="0" fillId="0" borderId="0" xfId="0"/>
    <xf numFmtId="164" fontId="0" fillId="0" borderId="0" xfId="0" applyNumberFormat="1"/>
    <xf numFmtId="0" fontId="0" fillId="0" borderId="0" xfId="0" applyAlignment="1">
      <alignment vertical="center"/>
    </xf>
    <xf numFmtId="0" fontId="2" fillId="0" borderId="0" xfId="0" applyFont="1"/>
    <xf numFmtId="9" fontId="0" fillId="0" borderId="0" xfId="0" applyNumberFormat="1"/>
    <xf numFmtId="0" fontId="0" fillId="0" borderId="10" xfId="0" applyBorder="1"/>
    <xf numFmtId="0" fontId="0" fillId="0" borderId="11" xfId="0" applyBorder="1" applyAlignment="1">
      <alignment vertical="center" wrapText="1"/>
    </xf>
    <xf numFmtId="0" fontId="1" fillId="0" borderId="0" xfId="0" applyFont="1"/>
    <xf numFmtId="0" fontId="1" fillId="4" borderId="0" xfId="0" applyFont="1" applyFill="1"/>
    <xf numFmtId="0" fontId="1" fillId="5" borderId="0" xfId="0" applyFont="1" applyFill="1"/>
    <xf numFmtId="0" fontId="5" fillId="5" borderId="0" xfId="0" applyFont="1" applyFill="1"/>
    <xf numFmtId="2" fontId="1" fillId="5" borderId="0" xfId="0" applyNumberFormat="1" applyFont="1" applyFill="1"/>
    <xf numFmtId="2" fontId="1" fillId="5" borderId="12" xfId="0" applyNumberFormat="1" applyFont="1" applyFill="1" applyBorder="1"/>
    <xf numFmtId="2" fontId="5" fillId="5" borderId="12" xfId="0" applyNumberFormat="1" applyFont="1" applyFill="1" applyBorder="1"/>
    <xf numFmtId="2" fontId="1" fillId="0" borderId="0" xfId="0" applyNumberFormat="1" applyFont="1"/>
    <xf numFmtId="2" fontId="5" fillId="5" borderId="0" xfId="0" applyNumberFormat="1" applyFont="1" applyFill="1"/>
    <xf numFmtId="2" fontId="0" fillId="5" borderId="0" xfId="0" applyNumberFormat="1" applyFill="1"/>
    <xf numFmtId="2" fontId="0" fillId="0" borderId="4" xfId="0" applyNumberFormat="1" applyBorder="1"/>
    <xf numFmtId="2" fontId="0" fillId="0" borderId="5" xfId="0" applyNumberFormat="1" applyBorder="1"/>
    <xf numFmtId="2" fontId="0" fillId="0" borderId="0" xfId="0" applyNumberFormat="1"/>
    <xf numFmtId="2" fontId="0" fillId="0" borderId="1" xfId="0" applyNumberFormat="1" applyBorder="1"/>
    <xf numFmtId="2" fontId="0" fillId="0" borderId="2" xfId="0" applyNumberFormat="1" applyBorder="1"/>
    <xf numFmtId="2" fontId="0" fillId="0" borderId="3" xfId="0" applyNumberFormat="1" applyBorder="1"/>
    <xf numFmtId="2" fontId="1" fillId="4" borderId="0" xfId="0" applyNumberFormat="1" applyFont="1" applyFill="1"/>
    <xf numFmtId="2" fontId="7" fillId="4" borderId="0" xfId="0" applyNumberFormat="1" applyFont="1" applyFill="1"/>
    <xf numFmtId="0" fontId="0" fillId="0" borderId="10" xfId="0" applyBorder="1" applyAlignment="1">
      <alignment vertical="center" wrapText="1"/>
    </xf>
    <xf numFmtId="2" fontId="0" fillId="0" borderId="10" xfId="0" applyNumberFormat="1" applyBorder="1" applyAlignment="1">
      <alignment vertical="center" wrapText="1"/>
    </xf>
    <xf numFmtId="0" fontId="4" fillId="2" borderId="14" xfId="0" applyFont="1" applyFill="1" applyBorder="1" applyAlignment="1">
      <alignment vertical="center" wrapText="1"/>
    </xf>
    <xf numFmtId="10" fontId="0" fillId="0" borderId="10" xfId="0" applyNumberFormat="1" applyBorder="1" applyAlignment="1">
      <alignment vertical="center" wrapText="1"/>
    </xf>
    <xf numFmtId="10" fontId="0" fillId="0" borderId="0" xfId="0" applyNumberFormat="1"/>
    <xf numFmtId="14" fontId="0" fillId="0" borderId="0" xfId="0" applyNumberFormat="1"/>
    <xf numFmtId="10" fontId="6" fillId="5" borderId="0" xfId="0" applyNumberFormat="1" applyFont="1" applyFill="1"/>
    <xf numFmtId="2" fontId="0" fillId="0" borderId="10" xfId="0" applyNumberFormat="1" applyBorder="1"/>
    <xf numFmtId="2" fontId="0" fillId="4" borderId="0" xfId="0" applyNumberFormat="1" applyFill="1"/>
    <xf numFmtId="2" fontId="1" fillId="4" borderId="13" xfId="0" applyNumberFormat="1" applyFont="1" applyFill="1" applyBorder="1"/>
    <xf numFmtId="2" fontId="7" fillId="4" borderId="13" xfId="0" applyNumberFormat="1" applyFont="1" applyFill="1" applyBorder="1"/>
    <xf numFmtId="0" fontId="1" fillId="4" borderId="13" xfId="0" applyFont="1" applyFill="1" applyBorder="1"/>
    <xf numFmtId="0" fontId="0" fillId="0" borderId="0" xfId="0" applyAlignment="1">
      <alignment horizontal="center"/>
    </xf>
    <xf numFmtId="9" fontId="6" fillId="5" borderId="0" xfId="1" applyFont="1" applyFill="1"/>
    <xf numFmtId="0" fontId="10" fillId="0" borderId="0" xfId="0" applyFont="1" applyAlignment="1">
      <alignment horizontal="center"/>
    </xf>
    <xf numFmtId="0" fontId="11" fillId="0" borderId="0" xfId="2" applyFont="1" applyAlignment="1">
      <alignment horizontal="center"/>
    </xf>
    <xf numFmtId="0" fontId="0" fillId="0" borderId="6" xfId="0" applyBorder="1"/>
    <xf numFmtId="0" fontId="0" fillId="0" borderId="12" xfId="0" applyBorder="1"/>
    <xf numFmtId="0" fontId="0" fillId="0" borderId="7" xfId="0" applyBorder="1"/>
    <xf numFmtId="0" fontId="0" fillId="0" borderId="8" xfId="0" applyBorder="1"/>
    <xf numFmtId="0" fontId="0" fillId="0" borderId="13" xfId="0" applyBorder="1"/>
    <xf numFmtId="0" fontId="0" fillId="0" borderId="9" xfId="0" applyBorder="1"/>
    <xf numFmtId="0" fontId="0" fillId="3" borderId="15" xfId="0" applyFill="1" applyBorder="1"/>
    <xf numFmtId="2" fontId="0" fillId="3" borderId="18" xfId="0" applyNumberFormat="1" applyFill="1" applyBorder="1"/>
    <xf numFmtId="2" fontId="0" fillId="3" borderId="19" xfId="0" applyNumberFormat="1" applyFill="1" applyBorder="1"/>
    <xf numFmtId="0" fontId="0" fillId="3" borderId="16" xfId="0" applyFill="1" applyBorder="1"/>
    <xf numFmtId="0" fontId="0" fillId="3" borderId="17" xfId="0" applyFill="1" applyBorder="1"/>
    <xf numFmtId="0" fontId="0" fillId="0" borderId="20" xfId="0" applyBorder="1" applyAlignment="1">
      <alignment vertical="center" wrapText="1"/>
    </xf>
    <xf numFmtId="0" fontId="4" fillId="2" borderId="21" xfId="0" applyFont="1" applyFill="1" applyBorder="1" applyAlignment="1">
      <alignment vertical="center" wrapText="1"/>
    </xf>
    <xf numFmtId="0" fontId="0" fillId="6" borderId="2" xfId="0" applyFill="1" applyBorder="1" applyAlignment="1">
      <alignment vertical="center" wrapText="1"/>
    </xf>
    <xf numFmtId="2" fontId="0" fillId="6" borderId="3" xfId="0" applyNumberFormat="1" applyFill="1" applyBorder="1" applyAlignment="1">
      <alignment vertical="center" wrapText="1"/>
    </xf>
    <xf numFmtId="0" fontId="0" fillId="0" borderId="0" xfId="0" applyAlignment="1">
      <alignment horizontal="right"/>
    </xf>
    <xf numFmtId="0" fontId="6" fillId="0" borderId="0" xfId="0" applyFont="1"/>
    <xf numFmtId="0" fontId="5" fillId="0" borderId="0" xfId="0" applyFont="1"/>
    <xf numFmtId="14" fontId="1" fillId="0" borderId="0" xfId="0" applyNumberFormat="1" applyFont="1"/>
    <xf numFmtId="0" fontId="4" fillId="2" borderId="14" xfId="0" applyFont="1" applyFill="1" applyBorder="1" applyAlignment="1">
      <alignment horizontal="center" vertical="center" wrapText="1"/>
    </xf>
    <xf numFmtId="0" fontId="12" fillId="0" borderId="0" xfId="0" applyFont="1" applyAlignment="1">
      <alignment horizontal="center"/>
    </xf>
    <xf numFmtId="0" fontId="13" fillId="0" borderId="0" xfId="0" applyFont="1"/>
    <xf numFmtId="0" fontId="14" fillId="0" borderId="0" xfId="2" applyFont="1" applyAlignment="1">
      <alignment horizontal="center"/>
    </xf>
    <xf numFmtId="0" fontId="14" fillId="0" borderId="0" xfId="2" applyFont="1" applyAlignment="1">
      <alignment horizontal="left"/>
    </xf>
    <xf numFmtId="2" fontId="7" fillId="0" borderId="0" xfId="0" applyNumberFormat="1" applyFont="1"/>
    <xf numFmtId="0" fontId="0" fillId="7" borderId="1" xfId="0" applyFill="1" applyBorder="1" applyAlignment="1">
      <alignment vertical="center" wrapText="1"/>
    </xf>
    <xf numFmtId="0" fontId="0" fillId="7" borderId="2" xfId="0" applyFill="1" applyBorder="1" applyAlignment="1">
      <alignment vertical="center" wrapText="1"/>
    </xf>
    <xf numFmtId="2" fontId="0" fillId="7" borderId="1" xfId="0" applyNumberFormat="1" applyFill="1" applyBorder="1"/>
    <xf numFmtId="2" fontId="0" fillId="7" borderId="2" xfId="0" applyNumberFormat="1" applyFill="1" applyBorder="1"/>
    <xf numFmtId="2" fontId="0" fillId="7" borderId="3" xfId="0" applyNumberFormat="1" applyFill="1" applyBorder="1"/>
    <xf numFmtId="0" fontId="0" fillId="7" borderId="17" xfId="0" applyFill="1" applyBorder="1"/>
    <xf numFmtId="2" fontId="0" fillId="3" borderId="23" xfId="0" applyNumberFormat="1" applyFill="1" applyBorder="1"/>
    <xf numFmtId="0" fontId="21"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xf>
    <xf numFmtId="0" fontId="20" fillId="0" borderId="0" xfId="0" applyFont="1" applyAlignment="1">
      <alignment horizontal="left" vertical="top"/>
    </xf>
    <xf numFmtId="0" fontId="22" fillId="0" borderId="0" xfId="0" applyFont="1" applyAlignment="1">
      <alignment horizontal="left" vertical="top"/>
    </xf>
    <xf numFmtId="0" fontId="23" fillId="8" borderId="24" xfId="0" applyFont="1" applyFill="1" applyBorder="1" applyAlignment="1">
      <alignment horizontal="center" vertical="center" wrapText="1"/>
    </xf>
    <xf numFmtId="0" fontId="0" fillId="0" borderId="0" xfId="0"/>
    <xf numFmtId="0" fontId="24" fillId="9" borderId="24" xfId="0" applyFont="1" applyFill="1" applyBorder="1" applyAlignment="1">
      <alignment horizontal="left" vertical="top" wrapText="1"/>
    </xf>
    <xf numFmtId="0" fontId="24" fillId="9" borderId="24" xfId="0" applyFont="1" applyFill="1" applyBorder="1" applyAlignment="1">
      <alignment horizontal="center" vertical="center" wrapText="1"/>
    </xf>
    <xf numFmtId="0" fontId="0" fillId="0" borderId="0" xfId="0" applyAlignment="1">
      <alignment horizontal="center" vertical="center"/>
    </xf>
    <xf numFmtId="0" fontId="26" fillId="0" borderId="26" xfId="0" applyFont="1" applyBorder="1" applyAlignment="1">
      <alignment horizontal="left" vertical="top" wrapText="1"/>
    </xf>
    <xf numFmtId="0" fontId="26" fillId="0" borderId="27" xfId="0" applyFont="1" applyBorder="1" applyAlignment="1">
      <alignment horizontal="left" vertical="top" wrapText="1"/>
    </xf>
    <xf numFmtId="0" fontId="26" fillId="0" borderId="25" xfId="0" applyFont="1" applyBorder="1" applyAlignment="1">
      <alignment horizontal="left" vertical="top" wrapText="1"/>
    </xf>
    <xf numFmtId="0" fontId="26" fillId="0" borderId="28" xfId="0" applyFont="1" applyBorder="1" applyAlignment="1">
      <alignment horizontal="left" vertical="top" wrapText="1"/>
    </xf>
    <xf numFmtId="0" fontId="13" fillId="12" borderId="0" xfId="0" applyFont="1" applyFill="1" applyAlignment="1">
      <alignment horizontal="center"/>
    </xf>
    <xf numFmtId="0" fontId="13" fillId="0" borderId="0" xfId="0" applyFont="1" applyAlignment="1">
      <alignment horizontal="center"/>
    </xf>
    <xf numFmtId="0" fontId="21" fillId="0" borderId="0" xfId="0" applyFont="1" applyAlignment="1">
      <alignment horizontal="left" vertical="top"/>
    </xf>
    <xf numFmtId="0" fontId="21" fillId="0" borderId="0" xfId="0" applyFont="1" applyAlignment="1">
      <alignment horizontal="left" vertical="top" wrapText="1"/>
    </xf>
    <xf numFmtId="0" fontId="25" fillId="10" borderId="29" xfId="0" applyFont="1" applyFill="1" applyBorder="1" applyAlignment="1">
      <alignment horizontal="center" vertical="center" wrapText="1"/>
    </xf>
    <xf numFmtId="0" fontId="25" fillId="10" borderId="30" xfId="0" applyFont="1" applyFill="1" applyBorder="1" applyAlignment="1">
      <alignment horizontal="center" vertical="center" wrapText="1"/>
    </xf>
    <xf numFmtId="0" fontId="25" fillId="10" borderId="25" xfId="0" applyFont="1" applyFill="1" applyBorder="1" applyAlignment="1">
      <alignment horizontal="center" vertical="center" wrapText="1"/>
    </xf>
    <xf numFmtId="0" fontId="25" fillId="10" borderId="0" xfId="0" applyFont="1" applyFill="1" applyAlignment="1">
      <alignment horizontal="center" vertical="center" wrapText="1"/>
    </xf>
    <xf numFmtId="0" fontId="24" fillId="0" borderId="25" xfId="0" applyFont="1" applyBorder="1" applyAlignment="1">
      <alignment horizontal="center" vertical="top" wrapText="1"/>
    </xf>
    <xf numFmtId="0" fontId="24" fillId="0" borderId="0" xfId="0" applyFont="1" applyAlignment="1">
      <alignment horizontal="center" vertical="top" wrapText="1"/>
    </xf>
    <xf numFmtId="0" fontId="24" fillId="9" borderId="0" xfId="0" applyFont="1" applyFill="1" applyAlignment="1">
      <alignment horizontal="left" vertical="top" wrapText="1"/>
    </xf>
    <xf numFmtId="0" fontId="24" fillId="11" borderId="24" xfId="0" applyFont="1" applyFill="1" applyBorder="1" applyAlignment="1">
      <alignment horizontal="left" vertical="top" wrapText="1"/>
    </xf>
    <xf numFmtId="0" fontId="18" fillId="0" borderId="0" xfId="0" applyFont="1" applyAlignment="1">
      <alignment horizontal="center" vertical="top" wrapText="1"/>
    </xf>
    <xf numFmtId="0" fontId="20" fillId="0" borderId="0" xfId="0" applyFont="1" applyAlignment="1">
      <alignment horizontal="left" vertical="top" wrapText="1"/>
    </xf>
    <xf numFmtId="0" fontId="15" fillId="0" borderId="0" xfId="0" applyFont="1" applyAlignment="1">
      <alignment horizontal="center"/>
    </xf>
    <xf numFmtId="2" fontId="0" fillId="0" borderId="0" xfId="0" applyNumberFormat="1" applyAlignment="1">
      <alignment horizontal="center" vertical="center"/>
    </xf>
    <xf numFmtId="0" fontId="16" fillId="3" borderId="0" xfId="0" applyFont="1" applyFill="1" applyAlignment="1">
      <alignment horizontal="center" vertical="center"/>
    </xf>
    <xf numFmtId="0" fontId="17" fillId="3" borderId="0" xfId="0" applyFont="1" applyFill="1" applyAlignment="1">
      <alignment horizontal="center" vertical="center"/>
    </xf>
    <xf numFmtId="0" fontId="0" fillId="6" borderId="1" xfId="0" applyFill="1" applyBorder="1" applyAlignment="1">
      <alignment vertical="center" wrapText="1"/>
    </xf>
    <xf numFmtId="0" fontId="0" fillId="6" borderId="2" xfId="0" applyFill="1" applyBorder="1" applyAlignment="1">
      <alignment vertical="center" wrapText="1"/>
    </xf>
    <xf numFmtId="0" fontId="3" fillId="0" borderId="22" xfId="0" applyFont="1" applyBorder="1" applyAlignment="1">
      <alignment horizontal="center" vertical="center" wrapText="1"/>
    </xf>
    <xf numFmtId="0" fontId="3" fillId="0" borderId="0" xfId="0" applyFont="1" applyAlignment="1">
      <alignment horizontal="center" vertical="center" wrapText="1"/>
    </xf>
    <xf numFmtId="0" fontId="0" fillId="0" borderId="31" xfId="0" applyBorder="1" applyAlignment="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7816</xdr:colOff>
      <xdr:row>2</xdr:row>
      <xdr:rowOff>32565</xdr:rowOff>
    </xdr:from>
    <xdr:to>
      <xdr:col>5</xdr:col>
      <xdr:colOff>488463</xdr:colOff>
      <xdr:row>8</xdr:row>
      <xdr:rowOff>305003</xdr:rowOff>
    </xdr:to>
    <xdr:pic>
      <xdr:nvPicPr>
        <xdr:cNvPr id="2" name="Image 1">
          <a:extLst>
            <a:ext uri="{FF2B5EF4-FFF2-40B4-BE49-F238E27FC236}">
              <a16:creationId xmlns:a16="http://schemas.microsoft.com/office/drawing/2014/main" id="{E93CC29B-CF44-C552-7B83-9215B63C3C1E}"/>
            </a:ext>
          </a:extLst>
        </xdr:cNvPr>
        <xdr:cNvPicPr>
          <a:picLocks noChangeAspect="1"/>
        </xdr:cNvPicPr>
      </xdr:nvPicPr>
      <xdr:blipFill>
        <a:blip xmlns:r="http://schemas.openxmlformats.org/officeDocument/2006/relationships" r:embed="rId1"/>
        <a:stretch>
          <a:fillRect/>
        </a:stretch>
      </xdr:blipFill>
      <xdr:spPr>
        <a:xfrm>
          <a:off x="1668585" y="423334"/>
          <a:ext cx="2971801" cy="19494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E44EF-B75C-744B-A972-ABB0620F9C3B}">
  <dimension ref="A1:F86"/>
  <sheetViews>
    <sheetView tabSelected="1" view="pageBreakPreview" zoomScaleNormal="100" zoomScaleSheetLayoutView="100" workbookViewId="0">
      <selection activeCell="I76" sqref="I76"/>
    </sheetView>
  </sheetViews>
  <sheetFormatPr baseColWidth="10" defaultRowHeight="15"/>
  <cols>
    <col min="6" max="6" width="21.83203125" customWidth="1"/>
  </cols>
  <sheetData>
    <row r="1" spans="1:6" ht="26">
      <c r="A1" s="87" t="s">
        <v>137</v>
      </c>
      <c r="B1" s="87"/>
      <c r="C1" s="87"/>
      <c r="D1" s="87"/>
      <c r="E1" s="87"/>
      <c r="F1" s="87"/>
    </row>
    <row r="2" spans="1:6">
      <c r="A2" s="78" t="s">
        <v>115</v>
      </c>
      <c r="B2" s="79"/>
      <c r="C2" s="79"/>
      <c r="D2" s="79"/>
      <c r="E2" s="79"/>
      <c r="F2" s="79"/>
    </row>
    <row r="3" spans="1:6">
      <c r="A3" s="81" t="s">
        <v>116</v>
      </c>
      <c r="B3" s="82"/>
      <c r="C3" s="82"/>
      <c r="D3" s="82"/>
      <c r="E3" s="82"/>
      <c r="F3" s="82"/>
    </row>
    <row r="4" spans="1:6">
      <c r="A4" s="82"/>
      <c r="B4" s="82"/>
      <c r="C4" s="82"/>
      <c r="D4" s="82"/>
      <c r="E4" s="82"/>
      <c r="F4" s="82"/>
    </row>
    <row r="5" spans="1:6" ht="57" customHeight="1">
      <c r="A5" s="82"/>
      <c r="B5" s="82"/>
      <c r="C5" s="82"/>
      <c r="D5" s="82"/>
      <c r="E5" s="82"/>
      <c r="F5" s="82"/>
    </row>
    <row r="8" spans="1:6">
      <c r="A8" s="78" t="s">
        <v>117</v>
      </c>
      <c r="B8" s="79"/>
      <c r="C8" s="79"/>
      <c r="D8" s="79"/>
      <c r="E8" s="79"/>
      <c r="F8" s="79"/>
    </row>
    <row r="9" spans="1:6">
      <c r="A9" s="91" t="s">
        <v>118</v>
      </c>
      <c r="B9" s="92"/>
      <c r="C9" s="93" t="s">
        <v>119</v>
      </c>
      <c r="D9" s="94"/>
      <c r="E9" s="94"/>
      <c r="F9" s="94"/>
    </row>
    <row r="10" spans="1:6">
      <c r="A10" s="83" t="s">
        <v>120</v>
      </c>
      <c r="B10" s="84"/>
      <c r="C10" s="95" t="s">
        <v>121</v>
      </c>
      <c r="D10" s="96"/>
      <c r="E10" s="96"/>
      <c r="F10" s="96"/>
    </row>
    <row r="11" spans="1:6">
      <c r="A11" s="85" t="s">
        <v>122</v>
      </c>
      <c r="B11" s="86"/>
      <c r="C11" s="95" t="s">
        <v>123</v>
      </c>
      <c r="D11" s="96"/>
      <c r="E11" s="96"/>
      <c r="F11" s="96"/>
    </row>
    <row r="12" spans="1:6">
      <c r="A12" s="85" t="s">
        <v>124</v>
      </c>
      <c r="B12" s="86"/>
      <c r="C12" s="95" t="s">
        <v>125</v>
      </c>
      <c r="D12" s="96"/>
      <c r="E12" s="96"/>
      <c r="F12" s="96"/>
    </row>
    <row r="13" spans="1:6" ht="16" customHeight="1">
      <c r="A13" s="85" t="s">
        <v>126</v>
      </c>
      <c r="B13" s="86"/>
      <c r="C13" s="95" t="s">
        <v>127</v>
      </c>
      <c r="D13" s="96"/>
      <c r="E13" s="96"/>
      <c r="F13" s="96"/>
    </row>
    <row r="14" spans="1:6" ht="20" customHeight="1">
      <c r="A14" s="85" t="s">
        <v>128</v>
      </c>
      <c r="B14" s="86"/>
      <c r="C14" s="95" t="s">
        <v>129</v>
      </c>
      <c r="D14" s="96"/>
      <c r="E14" s="96"/>
      <c r="F14" s="96"/>
    </row>
    <row r="15" spans="1:6" ht="20" customHeight="1"/>
    <row r="16" spans="1:6" ht="20" customHeight="1">
      <c r="A16" s="78" t="s">
        <v>130</v>
      </c>
      <c r="B16" s="79"/>
      <c r="C16" s="79"/>
      <c r="D16" s="79"/>
      <c r="E16" s="79"/>
      <c r="F16" s="79"/>
    </row>
    <row r="17" spans="1:6" ht="20" customHeight="1">
      <c r="A17" s="80" t="s">
        <v>136</v>
      </c>
      <c r="B17" s="97"/>
      <c r="C17" s="97"/>
      <c r="D17" s="97"/>
      <c r="E17" s="97"/>
      <c r="F17" s="97"/>
    </row>
    <row r="18" spans="1:6" ht="20" customHeight="1">
      <c r="A18" s="97"/>
      <c r="B18" s="97"/>
      <c r="C18" s="97"/>
      <c r="D18" s="97"/>
      <c r="E18" s="97"/>
      <c r="F18" s="97"/>
    </row>
    <row r="19" spans="1:6">
      <c r="A19" s="97"/>
      <c r="B19" s="97"/>
      <c r="C19" s="97"/>
      <c r="D19" s="97"/>
      <c r="E19" s="97"/>
      <c r="F19" s="97"/>
    </row>
    <row r="20" spans="1:6">
      <c r="A20" s="97"/>
      <c r="B20" s="97"/>
      <c r="C20" s="97"/>
      <c r="D20" s="97"/>
      <c r="E20" s="97"/>
      <c r="F20" s="97"/>
    </row>
    <row r="21" spans="1:6" ht="15" customHeight="1">
      <c r="A21" s="97"/>
      <c r="B21" s="97"/>
      <c r="C21" s="97"/>
      <c r="D21" s="97"/>
      <c r="E21" s="97"/>
      <c r="F21" s="97"/>
    </row>
    <row r="22" spans="1:6">
      <c r="A22" s="97"/>
      <c r="B22" s="97"/>
      <c r="C22" s="97"/>
      <c r="D22" s="97"/>
      <c r="E22" s="97"/>
      <c r="F22" s="97"/>
    </row>
    <row r="23" spans="1:6" ht="101" customHeight="1">
      <c r="A23" s="97"/>
      <c r="B23" s="97"/>
      <c r="C23" s="97"/>
      <c r="D23" s="97"/>
      <c r="E23" s="97"/>
      <c r="F23" s="97"/>
    </row>
    <row r="25" spans="1:6" ht="15" customHeight="1">
      <c r="A25" s="98" t="s">
        <v>131</v>
      </c>
      <c r="B25" s="79"/>
      <c r="C25" s="79"/>
      <c r="D25" s="79"/>
      <c r="E25" s="79"/>
      <c r="F25" s="79"/>
    </row>
    <row r="26" spans="1:6">
      <c r="A26" s="79"/>
      <c r="B26" s="79"/>
      <c r="C26" s="79"/>
      <c r="D26" s="79"/>
      <c r="E26" s="79"/>
      <c r="F26" s="79"/>
    </row>
    <row r="27" spans="1:6" ht="43" customHeight="1">
      <c r="A27" s="79"/>
      <c r="B27" s="79"/>
      <c r="C27" s="79"/>
      <c r="D27" s="79"/>
      <c r="E27" s="79"/>
      <c r="F27" s="79"/>
    </row>
    <row r="30" spans="1:6">
      <c r="A30" s="78" t="s">
        <v>132</v>
      </c>
      <c r="B30" s="79"/>
      <c r="C30" s="79"/>
      <c r="D30" s="79"/>
      <c r="E30" s="79"/>
      <c r="F30" s="79"/>
    </row>
    <row r="31" spans="1:6">
      <c r="A31" s="80" t="s">
        <v>133</v>
      </c>
      <c r="B31" s="79"/>
      <c r="C31" s="79"/>
      <c r="D31" s="79"/>
      <c r="E31" s="79"/>
      <c r="F31" s="79"/>
    </row>
    <row r="32" spans="1:6">
      <c r="A32" s="79"/>
      <c r="B32" s="79"/>
      <c r="C32" s="79"/>
      <c r="D32" s="79"/>
      <c r="E32" s="79"/>
      <c r="F32" s="79"/>
    </row>
    <row r="33" spans="1:6">
      <c r="A33" s="79"/>
      <c r="B33" s="79"/>
      <c r="C33" s="79"/>
      <c r="D33" s="79"/>
      <c r="E33" s="79"/>
      <c r="F33" s="79"/>
    </row>
    <row r="34" spans="1:6">
      <c r="A34" s="79"/>
      <c r="B34" s="79"/>
      <c r="C34" s="79"/>
      <c r="D34" s="79"/>
      <c r="E34" s="79"/>
      <c r="F34" s="79"/>
    </row>
    <row r="35" spans="1:6">
      <c r="A35" s="79"/>
      <c r="B35" s="79"/>
      <c r="C35" s="79"/>
      <c r="D35" s="79"/>
      <c r="E35" s="79"/>
      <c r="F35" s="79"/>
    </row>
    <row r="37" spans="1:6">
      <c r="A37" s="78" t="s">
        <v>134</v>
      </c>
      <c r="B37" s="79"/>
      <c r="C37" s="79"/>
      <c r="D37" s="79"/>
      <c r="E37" s="79"/>
      <c r="F37" s="79"/>
    </row>
    <row r="38" spans="1:6">
      <c r="A38" s="80" t="s">
        <v>135</v>
      </c>
      <c r="B38" s="79"/>
      <c r="C38" s="79"/>
      <c r="D38" s="79"/>
      <c r="E38" s="79"/>
      <c r="F38" s="79"/>
    </row>
    <row r="39" spans="1:6">
      <c r="A39" s="79"/>
      <c r="B39" s="79"/>
      <c r="C39" s="79"/>
      <c r="D39" s="79"/>
      <c r="E39" s="79"/>
      <c r="F39" s="79"/>
    </row>
    <row r="40" spans="1:6">
      <c r="A40" s="79"/>
      <c r="B40" s="79"/>
      <c r="C40" s="79"/>
      <c r="D40" s="79"/>
      <c r="E40" s="79"/>
      <c r="F40" s="79"/>
    </row>
    <row r="41" spans="1:6">
      <c r="A41" s="79"/>
      <c r="B41" s="79"/>
      <c r="C41" s="79"/>
      <c r="D41" s="79"/>
      <c r="E41" s="79"/>
      <c r="F41" s="79"/>
    </row>
    <row r="43" spans="1:6" ht="31" customHeight="1">
      <c r="A43" s="88" t="s">
        <v>138</v>
      </c>
      <c r="B43" s="88"/>
      <c r="C43" s="88"/>
      <c r="D43" s="88"/>
      <c r="E43" s="88"/>
      <c r="F43" s="88"/>
    </row>
    <row r="44" spans="1:6" ht="14" customHeight="1"/>
    <row r="45" spans="1:6" ht="15" customHeight="1">
      <c r="A45" s="74" t="s">
        <v>139</v>
      </c>
      <c r="B45" s="75"/>
      <c r="C45" s="75"/>
      <c r="D45" s="75"/>
      <c r="E45" s="75"/>
      <c r="F45" s="75"/>
    </row>
    <row r="46" spans="1:6" ht="15" customHeight="1">
      <c r="A46" s="76" t="s">
        <v>140</v>
      </c>
      <c r="B46" s="75"/>
      <c r="C46" s="75"/>
      <c r="D46" s="75"/>
      <c r="E46" s="75"/>
      <c r="F46" s="75"/>
    </row>
    <row r="47" spans="1:6" ht="15" customHeight="1">
      <c r="A47" s="75"/>
      <c r="B47" s="75"/>
      <c r="C47" s="75"/>
      <c r="D47" s="75"/>
      <c r="E47" s="75"/>
      <c r="F47" s="75"/>
    </row>
    <row r="48" spans="1:6" ht="15" customHeight="1">
      <c r="A48" s="74" t="s">
        <v>141</v>
      </c>
      <c r="B48" s="75"/>
      <c r="C48" s="75"/>
      <c r="D48" s="75"/>
      <c r="E48" s="75"/>
      <c r="F48" s="75"/>
    </row>
    <row r="49" spans="1:6" ht="15" customHeight="1">
      <c r="A49" s="76" t="s">
        <v>142</v>
      </c>
      <c r="B49" s="75"/>
      <c r="C49" s="75"/>
      <c r="D49" s="75"/>
      <c r="E49" s="75"/>
      <c r="F49" s="75"/>
    </row>
    <row r="50" spans="1:6" ht="15" customHeight="1">
      <c r="A50" s="75"/>
      <c r="B50" s="75"/>
      <c r="C50" s="75"/>
      <c r="D50" s="75"/>
      <c r="E50" s="75"/>
      <c r="F50" s="75"/>
    </row>
    <row r="51" spans="1:6" ht="15" customHeight="1">
      <c r="A51" s="89" t="s">
        <v>145</v>
      </c>
      <c r="B51" s="89"/>
      <c r="C51" s="89"/>
      <c r="D51" s="89"/>
      <c r="E51" s="89"/>
      <c r="F51" s="89"/>
    </row>
    <row r="52" spans="1:6" ht="15" customHeight="1">
      <c r="A52" s="89" t="s">
        <v>146</v>
      </c>
      <c r="B52" s="89"/>
      <c r="C52" s="89"/>
      <c r="D52" s="89"/>
      <c r="E52" s="89"/>
      <c r="F52" s="89"/>
    </row>
    <row r="53" spans="1:6" ht="15" customHeight="1">
      <c r="A53" s="90" t="s">
        <v>147</v>
      </c>
      <c r="B53" s="90"/>
      <c r="C53" s="90"/>
      <c r="D53" s="90"/>
      <c r="E53" s="90"/>
      <c r="F53" s="90"/>
    </row>
    <row r="54" spans="1:6" ht="15" customHeight="1">
      <c r="A54" s="90"/>
      <c r="B54" s="90"/>
      <c r="C54" s="90"/>
      <c r="D54" s="90"/>
      <c r="E54" s="90"/>
      <c r="F54" s="90"/>
    </row>
    <row r="55" spans="1:6" ht="15" customHeight="1">
      <c r="A55" s="75"/>
      <c r="B55" s="75"/>
      <c r="C55" s="75"/>
      <c r="D55" s="75"/>
      <c r="E55" s="75"/>
      <c r="F55" s="75"/>
    </row>
    <row r="56" spans="1:6" ht="15" customHeight="1">
      <c r="A56" s="74" t="s">
        <v>143</v>
      </c>
      <c r="B56" s="75"/>
      <c r="C56" s="75"/>
      <c r="D56" s="75"/>
      <c r="E56" s="75"/>
      <c r="F56" s="75"/>
    </row>
    <row r="57" spans="1:6" ht="15" customHeight="1">
      <c r="A57" s="76" t="s">
        <v>144</v>
      </c>
      <c r="B57" s="75"/>
      <c r="C57" s="75"/>
      <c r="D57" s="75"/>
      <c r="E57" s="75"/>
      <c r="F57" s="75"/>
    </row>
    <row r="58" spans="1:6">
      <c r="A58" s="75"/>
      <c r="B58" s="75"/>
      <c r="C58" s="75"/>
      <c r="D58" s="75"/>
      <c r="E58" s="75"/>
      <c r="F58" s="75"/>
    </row>
    <row r="59" spans="1:6">
      <c r="A59" s="73" t="s">
        <v>155</v>
      </c>
      <c r="B59" s="75"/>
      <c r="C59" s="75"/>
      <c r="D59" s="75"/>
      <c r="E59" s="75"/>
      <c r="F59" s="75"/>
    </row>
    <row r="60" spans="1:6">
      <c r="A60" s="73" t="s">
        <v>156</v>
      </c>
      <c r="B60" s="77"/>
      <c r="C60" s="75"/>
      <c r="D60" s="75"/>
      <c r="E60" s="75"/>
      <c r="F60" s="75"/>
    </row>
    <row r="61" spans="1:6">
      <c r="A61" s="100" t="s">
        <v>157</v>
      </c>
      <c r="B61" s="100"/>
      <c r="C61" s="100"/>
      <c r="D61" s="100"/>
      <c r="E61" s="100"/>
      <c r="F61" s="100"/>
    </row>
    <row r="62" spans="1:6">
      <c r="A62" s="100"/>
      <c r="B62" s="100"/>
      <c r="C62" s="100"/>
      <c r="D62" s="100"/>
      <c r="E62" s="100"/>
      <c r="F62" s="100"/>
    </row>
    <row r="63" spans="1:6">
      <c r="A63" s="75"/>
      <c r="B63" s="75"/>
      <c r="C63" s="75"/>
      <c r="D63" s="75"/>
      <c r="E63" s="75"/>
      <c r="F63" s="75"/>
    </row>
    <row r="64" spans="1:6" ht="16">
      <c r="A64" s="74" t="s">
        <v>148</v>
      </c>
      <c r="B64" s="75"/>
      <c r="C64" s="75"/>
      <c r="D64" s="75"/>
      <c r="E64" s="75"/>
      <c r="F64" s="75"/>
    </row>
    <row r="65" spans="1:6">
      <c r="A65" s="76" t="s">
        <v>150</v>
      </c>
      <c r="B65" s="77"/>
      <c r="C65" s="77"/>
      <c r="D65" s="75"/>
      <c r="E65" s="75"/>
      <c r="F65" s="75"/>
    </row>
    <row r="66" spans="1:6">
      <c r="A66" s="77"/>
      <c r="B66" s="77"/>
      <c r="C66" s="77"/>
      <c r="D66" s="75"/>
      <c r="E66" s="75"/>
      <c r="F66" s="75"/>
    </row>
    <row r="67" spans="1:6">
      <c r="A67" s="76" t="s">
        <v>149</v>
      </c>
      <c r="B67" s="77"/>
      <c r="C67" s="77"/>
      <c r="D67" s="75"/>
      <c r="E67" s="75"/>
      <c r="F67" s="75"/>
    </row>
    <row r="68" spans="1:6">
      <c r="A68" s="100" t="s">
        <v>151</v>
      </c>
      <c r="B68" s="100"/>
      <c r="C68" s="100"/>
      <c r="D68" s="100"/>
      <c r="E68" s="100"/>
      <c r="F68" s="100"/>
    </row>
    <row r="69" spans="1:6">
      <c r="A69" s="100"/>
      <c r="B69" s="100"/>
      <c r="C69" s="100"/>
      <c r="D69" s="100"/>
      <c r="E69" s="100"/>
      <c r="F69" s="100"/>
    </row>
    <row r="70" spans="1:6">
      <c r="A70" s="76" t="s">
        <v>152</v>
      </c>
      <c r="B70" s="75"/>
      <c r="C70" s="75"/>
      <c r="D70" s="75"/>
      <c r="E70" s="75"/>
      <c r="F70" s="75"/>
    </row>
    <row r="71" spans="1:6">
      <c r="A71" s="75"/>
      <c r="B71" s="75"/>
      <c r="C71" s="75"/>
      <c r="D71" s="75"/>
      <c r="E71" s="75"/>
      <c r="F71" s="75"/>
    </row>
    <row r="72" spans="1:6" ht="16">
      <c r="A72" s="74" t="s">
        <v>153</v>
      </c>
      <c r="B72" s="75"/>
      <c r="C72" s="75"/>
      <c r="D72" s="75"/>
      <c r="E72" s="75"/>
      <c r="F72" s="75"/>
    </row>
    <row r="73" spans="1:6">
      <c r="A73" s="76" t="s">
        <v>154</v>
      </c>
      <c r="B73" s="75"/>
      <c r="C73" s="75"/>
      <c r="D73" s="75"/>
      <c r="E73" s="75"/>
      <c r="F73" s="75"/>
    </row>
    <row r="74" spans="1:6">
      <c r="A74" s="75"/>
      <c r="B74" s="75"/>
      <c r="C74" s="75"/>
      <c r="D74" s="75"/>
      <c r="E74" s="75"/>
      <c r="F74" s="75"/>
    </row>
    <row r="75" spans="1:6">
      <c r="A75" s="73" t="s">
        <v>158</v>
      </c>
      <c r="B75" s="77"/>
      <c r="C75" s="75"/>
      <c r="D75" s="75"/>
      <c r="E75" s="75"/>
      <c r="F75" s="75"/>
    </row>
    <row r="76" spans="1:6">
      <c r="A76" s="73" t="s">
        <v>159</v>
      </c>
      <c r="B76" s="77"/>
      <c r="C76" s="75"/>
      <c r="D76" s="75"/>
      <c r="E76" s="75"/>
      <c r="F76" s="75"/>
    </row>
    <row r="77" spans="1:6">
      <c r="A77" s="90" t="s">
        <v>160</v>
      </c>
      <c r="B77" s="90"/>
      <c r="C77" s="90"/>
      <c r="D77" s="90"/>
      <c r="E77" s="90"/>
      <c r="F77" s="90"/>
    </row>
    <row r="78" spans="1:6">
      <c r="A78" s="90"/>
      <c r="B78" s="90"/>
      <c r="C78" s="90"/>
      <c r="D78" s="90"/>
      <c r="E78" s="90"/>
      <c r="F78" s="90"/>
    </row>
    <row r="79" spans="1:6" ht="15" customHeight="1">
      <c r="A79" s="90" t="s">
        <v>161</v>
      </c>
      <c r="B79" s="90"/>
      <c r="C79" s="90"/>
      <c r="D79" s="90"/>
      <c r="E79" s="90"/>
      <c r="F79" s="90"/>
    </row>
    <row r="80" spans="1:6">
      <c r="A80" s="90"/>
      <c r="B80" s="90"/>
      <c r="C80" s="90"/>
      <c r="D80" s="90"/>
      <c r="E80" s="90"/>
      <c r="F80" s="90"/>
    </row>
    <row r="81" spans="1:6">
      <c r="A81" s="90" t="s">
        <v>162</v>
      </c>
      <c r="B81" s="90"/>
      <c r="C81" s="90"/>
      <c r="D81" s="90"/>
      <c r="E81" s="90"/>
      <c r="F81" s="90"/>
    </row>
    <row r="82" spans="1:6">
      <c r="A82" s="90"/>
      <c r="B82" s="90"/>
      <c r="C82" s="90"/>
      <c r="D82" s="90"/>
      <c r="E82" s="90"/>
      <c r="F82" s="90"/>
    </row>
    <row r="83" spans="1:6">
      <c r="A83" s="90"/>
      <c r="B83" s="90"/>
      <c r="C83" s="90"/>
      <c r="D83" s="90"/>
      <c r="E83" s="90"/>
      <c r="F83" s="90"/>
    </row>
    <row r="84" spans="1:6">
      <c r="A84" s="75"/>
      <c r="B84" s="75"/>
      <c r="C84" s="75"/>
      <c r="D84" s="75"/>
      <c r="E84" s="75"/>
      <c r="F84" s="75"/>
    </row>
    <row r="85" spans="1:6" ht="18" customHeight="1">
      <c r="A85" s="99" t="s">
        <v>163</v>
      </c>
      <c r="B85" s="99"/>
      <c r="C85" s="99"/>
      <c r="D85" s="99"/>
      <c r="E85" s="99"/>
      <c r="F85" s="99"/>
    </row>
    <row r="86" spans="1:6">
      <c r="A86" s="99"/>
      <c r="B86" s="99"/>
      <c r="C86" s="99"/>
      <c r="D86" s="99"/>
      <c r="E86" s="99"/>
      <c r="F86" s="99"/>
    </row>
  </sheetData>
  <mergeCells count="33">
    <mergeCell ref="A77:F78"/>
    <mergeCell ref="A79:F80"/>
    <mergeCell ref="A81:F83"/>
    <mergeCell ref="A85:F86"/>
    <mergeCell ref="A61:F62"/>
    <mergeCell ref="A68:F69"/>
    <mergeCell ref="A1:F1"/>
    <mergeCell ref="A43:F43"/>
    <mergeCell ref="A51:F51"/>
    <mergeCell ref="A52:F52"/>
    <mergeCell ref="A53:F54"/>
    <mergeCell ref="A9:B9"/>
    <mergeCell ref="C9:F9"/>
    <mergeCell ref="A14:B14"/>
    <mergeCell ref="C10:F10"/>
    <mergeCell ref="C11:F11"/>
    <mergeCell ref="C12:F12"/>
    <mergeCell ref="C13:F13"/>
    <mergeCell ref="C14:F14"/>
    <mergeCell ref="A38:F41"/>
    <mergeCell ref="A17:F23"/>
    <mergeCell ref="A25:F27"/>
    <mergeCell ref="A30:F30"/>
    <mergeCell ref="A31:F35"/>
    <mergeCell ref="A37:F37"/>
    <mergeCell ref="A2:F2"/>
    <mergeCell ref="A3:F5"/>
    <mergeCell ref="A8:F8"/>
    <mergeCell ref="A16:F16"/>
    <mergeCell ref="A10:B10"/>
    <mergeCell ref="A11:B11"/>
    <mergeCell ref="A12:B12"/>
    <mergeCell ref="A13:B13"/>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74CE-E320-2E4A-85B6-BE573934C1F2}">
  <sheetPr codeName="Feuil1"/>
  <dimension ref="A5:E25"/>
  <sheetViews>
    <sheetView showGridLines="0" view="pageBreakPreview" zoomScale="78" zoomScaleNormal="100" zoomScaleSheetLayoutView="78" workbookViewId="0">
      <selection activeCell="B21" sqref="B21"/>
    </sheetView>
  </sheetViews>
  <sheetFormatPr baseColWidth="10" defaultRowHeight="15"/>
  <cols>
    <col min="1" max="1" width="11" customWidth="1"/>
  </cols>
  <sheetData>
    <row r="5" spans="1:5" ht="34">
      <c r="A5" s="39"/>
    </row>
    <row r="7" spans="1:5" ht="26">
      <c r="A7" s="61"/>
      <c r="C7" s="101" t="s">
        <v>86</v>
      </c>
      <c r="D7" s="101"/>
      <c r="E7" s="101"/>
    </row>
    <row r="8" spans="1:5" ht="26">
      <c r="A8" s="62"/>
    </row>
    <row r="9" spans="1:5" ht="35" customHeight="1">
      <c r="A9" s="62"/>
    </row>
    <row r="10" spans="1:5" ht="35" customHeight="1">
      <c r="A10" s="64"/>
      <c r="B10" s="64" t="s">
        <v>80</v>
      </c>
    </row>
    <row r="11" spans="1:5" ht="35" customHeight="1">
      <c r="A11" s="64"/>
      <c r="B11" s="64" t="s">
        <v>81</v>
      </c>
    </row>
    <row r="12" spans="1:5" ht="35" customHeight="1">
      <c r="A12" s="64"/>
      <c r="B12" s="64" t="s">
        <v>82</v>
      </c>
    </row>
    <row r="13" spans="1:5" ht="35" customHeight="1">
      <c r="A13" s="64"/>
      <c r="B13" s="64" t="s">
        <v>41</v>
      </c>
    </row>
    <row r="14" spans="1:5" ht="35" customHeight="1">
      <c r="A14" s="64"/>
      <c r="B14" s="64" t="s">
        <v>83</v>
      </c>
    </row>
    <row r="15" spans="1:5" ht="35" customHeight="1">
      <c r="A15" s="64"/>
      <c r="B15" s="64" t="s">
        <v>84</v>
      </c>
    </row>
    <row r="16" spans="1:5" ht="35" customHeight="1">
      <c r="A16" s="64"/>
      <c r="B16" s="64" t="s">
        <v>57</v>
      </c>
    </row>
    <row r="17" spans="1:2" ht="35" customHeight="1">
      <c r="A17" s="64"/>
      <c r="B17" s="64" t="s">
        <v>85</v>
      </c>
    </row>
    <row r="18" spans="1:2" ht="35" customHeight="1">
      <c r="A18" s="64"/>
      <c r="B18" s="64" t="s">
        <v>63</v>
      </c>
    </row>
    <row r="19" spans="1:2" ht="35" customHeight="1">
      <c r="A19" s="64"/>
      <c r="B19" s="64" t="s">
        <v>62</v>
      </c>
    </row>
    <row r="20" spans="1:2" ht="35" customHeight="1">
      <c r="A20" s="63"/>
    </row>
    <row r="21" spans="1:2" ht="35" customHeight="1">
      <c r="A21" s="63"/>
    </row>
    <row r="22" spans="1:2" ht="35" customHeight="1">
      <c r="A22" s="40"/>
    </row>
    <row r="23" spans="1:2" ht="35" customHeight="1">
      <c r="A23" s="40"/>
    </row>
    <row r="24" spans="1:2" ht="35" customHeight="1"/>
    <row r="25" spans="1:2" ht="35" customHeight="1"/>
  </sheetData>
  <sheetProtection sheet="1" objects="1" scenarios="1"/>
  <mergeCells count="1">
    <mergeCell ref="C7:E7"/>
  </mergeCells>
  <hyperlinks>
    <hyperlink ref="B10" location="Paramètres!A1" display="Paramètres" xr:uid="{13B82870-FBFE-B34E-BD6C-9834F386A5C1}"/>
    <hyperlink ref="B11" location="'Matières premières'!A1" display="Matières premières" xr:uid="{039CD91E-3E03-F44E-9CEE-5B0CAD68485E}"/>
    <hyperlink ref="B12" location="'Café crème'!A1" display="Café crème" xr:uid="{BCC33635-8270-BC44-A275-E893C27739F3}"/>
    <hyperlink ref="B13" location="Cappuccino!A1" display="Cappuccino" xr:uid="{BAD59D38-9C5E-5A40-AFD6-071211A48699}"/>
    <hyperlink ref="B14" location="'Café au lait'!A1" display="Café au lait" xr:uid="{4DDB0B70-340F-8A45-AFFF-EE1E78302A53}"/>
    <hyperlink ref="B15" location="'Ice coffee'!A1" display="Ice coffee" xr:uid="{BADD1115-0A70-294E-94E1-918D9B1FCB2D}"/>
    <hyperlink ref="B16" location="Doppio!A1" display="Doppio" xr:uid="{21085F6F-0188-984E-A352-F4C3E19608E5}"/>
    <hyperlink ref="B17" location="'Latte macchiato'!A1" display="Latte macchiato" xr:uid="{A62F6A39-AE12-AA47-AF9D-DBFBEFD791A5}"/>
    <hyperlink ref="B18" location="'Latte macchiato'!A1" display="Matcha latte" xr:uid="{A900E52F-849B-8D4B-94A0-F384004061D1}"/>
    <hyperlink ref="B19" location="Matcha!A1" display="Matcha" xr:uid="{499B2E6E-293E-894D-92A2-4371E1528F91}"/>
  </hyperlink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84B9-B7C5-4342-9B63-19FCE66182F7}">
  <sheetPr codeName="Feuil2"/>
  <dimension ref="A1:H50"/>
  <sheetViews>
    <sheetView view="pageBreakPreview" zoomScale="119" zoomScaleNormal="100" zoomScaleSheetLayoutView="119" workbookViewId="0">
      <selection activeCell="F4" sqref="F4"/>
    </sheetView>
  </sheetViews>
  <sheetFormatPr baseColWidth="10" defaultRowHeight="15"/>
  <cols>
    <col min="1" max="1" width="19" customWidth="1"/>
    <col min="2" max="2" width="6.33203125" customWidth="1"/>
    <col min="3" max="3" width="10.1640625" customWidth="1"/>
    <col min="4" max="4" width="12.1640625" customWidth="1"/>
    <col min="5" max="5" width="2.83203125" customWidth="1"/>
    <col min="7" max="7" width="10.6640625" customWidth="1"/>
    <col min="8" max="8" width="9" customWidth="1"/>
  </cols>
  <sheetData>
    <row r="1" spans="1:8">
      <c r="A1" s="82" t="s">
        <v>5</v>
      </c>
      <c r="B1" s="82"/>
      <c r="C1" s="82"/>
      <c r="D1" s="82"/>
      <c r="E1" s="82"/>
      <c r="F1" s="82"/>
      <c r="G1" s="82"/>
      <c r="H1" s="82"/>
    </row>
    <row r="2" spans="1:8">
      <c r="A2" s="82"/>
      <c r="B2" s="82"/>
      <c r="C2" s="82"/>
      <c r="D2" s="82"/>
      <c r="E2" s="82"/>
      <c r="F2" s="82"/>
      <c r="G2" s="82"/>
      <c r="H2" s="82"/>
    </row>
    <row r="3" spans="1:8" ht="16" thickBot="1">
      <c r="A3" s="82"/>
      <c r="B3" s="82"/>
      <c r="C3" s="82"/>
      <c r="D3" s="82"/>
      <c r="E3" s="82"/>
      <c r="F3" s="82"/>
      <c r="G3" s="82"/>
      <c r="H3" s="82"/>
    </row>
    <row r="4" spans="1:8" ht="33" thickBot="1">
      <c r="A4" s="66" t="s">
        <v>31</v>
      </c>
      <c r="B4" s="67" t="s">
        <v>110</v>
      </c>
      <c r="C4" s="67" t="s">
        <v>109</v>
      </c>
      <c r="D4" s="67" t="s">
        <v>99</v>
      </c>
      <c r="E4" s="67"/>
      <c r="F4" s="67" t="s">
        <v>38</v>
      </c>
      <c r="G4" s="71"/>
      <c r="H4" s="67" t="s">
        <v>39</v>
      </c>
    </row>
    <row r="6" spans="1:8">
      <c r="A6" s="19" t="s">
        <v>9</v>
      </c>
      <c r="B6">
        <v>1000</v>
      </c>
      <c r="C6" s="19">
        <v>31</v>
      </c>
      <c r="D6" s="19" t="s">
        <v>100</v>
      </c>
      <c r="E6" s="19"/>
      <c r="F6" s="19">
        <v>8</v>
      </c>
      <c r="G6" s="19"/>
      <c r="H6" s="65">
        <f>C6/B6</f>
        <v>3.1E-2</v>
      </c>
    </row>
    <row r="7" spans="1:8">
      <c r="A7" s="19" t="s">
        <v>10</v>
      </c>
      <c r="B7">
        <v>1000</v>
      </c>
      <c r="C7" s="19">
        <v>28</v>
      </c>
      <c r="D7" s="19" t="s">
        <v>101</v>
      </c>
      <c r="E7" s="19"/>
      <c r="F7" s="19">
        <v>8</v>
      </c>
      <c r="G7" s="19"/>
      <c r="H7" s="65">
        <f t="shared" ref="H7:H23" si="0">C7/B7</f>
        <v>2.8000000000000001E-2</v>
      </c>
    </row>
    <row r="8" spans="1:8">
      <c r="A8" s="19" t="s">
        <v>4</v>
      </c>
      <c r="B8">
        <v>1000</v>
      </c>
      <c r="C8" s="19">
        <v>1.2</v>
      </c>
      <c r="D8" s="19" t="s">
        <v>103</v>
      </c>
      <c r="E8" s="19"/>
      <c r="F8" s="19">
        <v>120</v>
      </c>
      <c r="G8" s="19"/>
      <c r="H8" s="65">
        <f t="shared" si="0"/>
        <v>1.1999999999999999E-3</v>
      </c>
    </row>
    <row r="9" spans="1:8">
      <c r="A9" s="19" t="s">
        <v>6</v>
      </c>
      <c r="B9">
        <v>1000</v>
      </c>
      <c r="C9" s="19">
        <v>10</v>
      </c>
      <c r="D9" s="19" t="s">
        <v>103</v>
      </c>
      <c r="E9" s="19"/>
      <c r="F9" s="19">
        <v>5</v>
      </c>
      <c r="G9" s="19"/>
      <c r="H9" s="65">
        <f t="shared" si="0"/>
        <v>0.01</v>
      </c>
    </row>
    <row r="10" spans="1:8">
      <c r="A10" s="19" t="s">
        <v>7</v>
      </c>
      <c r="B10">
        <v>1000</v>
      </c>
      <c r="C10" s="19">
        <v>146.5</v>
      </c>
      <c r="D10" s="19" t="s">
        <v>103</v>
      </c>
      <c r="E10" s="19"/>
      <c r="F10" s="19">
        <v>12</v>
      </c>
      <c r="G10" s="19"/>
      <c r="H10" s="65">
        <f t="shared" si="0"/>
        <v>0.14649999999999999</v>
      </c>
    </row>
    <row r="11" spans="1:8">
      <c r="A11" s="19" t="s">
        <v>8</v>
      </c>
      <c r="B11">
        <v>1000</v>
      </c>
      <c r="C11" s="19">
        <v>5.2</v>
      </c>
      <c r="D11" s="19" t="s">
        <v>104</v>
      </c>
      <c r="E11" s="19"/>
      <c r="F11" s="19">
        <v>10</v>
      </c>
      <c r="G11" s="19"/>
      <c r="H11" s="65">
        <f t="shared" si="0"/>
        <v>5.1999999999999998E-3</v>
      </c>
    </row>
    <row r="12" spans="1:8">
      <c r="A12" s="19" t="s">
        <v>15</v>
      </c>
      <c r="B12">
        <v>1000</v>
      </c>
      <c r="C12" s="19">
        <v>5.0999999999999996</v>
      </c>
      <c r="D12" s="19" t="s">
        <v>104</v>
      </c>
      <c r="E12" s="19"/>
      <c r="F12" s="19">
        <v>40</v>
      </c>
      <c r="G12" s="19"/>
      <c r="H12" s="65">
        <f t="shared" si="0"/>
        <v>5.0999999999999995E-3</v>
      </c>
    </row>
    <row r="13" spans="1:8">
      <c r="A13" s="19" t="s">
        <v>16</v>
      </c>
      <c r="B13">
        <v>1000</v>
      </c>
      <c r="C13" s="19">
        <v>5.2</v>
      </c>
      <c r="D13" s="19" t="s">
        <v>104</v>
      </c>
      <c r="E13" s="19"/>
      <c r="F13" s="19">
        <v>10</v>
      </c>
      <c r="G13" s="19"/>
      <c r="H13" s="65">
        <f t="shared" si="0"/>
        <v>5.1999999999999998E-3</v>
      </c>
    </row>
    <row r="14" spans="1:8">
      <c r="A14" s="19" t="s">
        <v>11</v>
      </c>
      <c r="B14">
        <v>1000</v>
      </c>
      <c r="C14" s="19">
        <v>5</v>
      </c>
      <c r="D14" s="19" t="s">
        <v>102</v>
      </c>
      <c r="E14" s="19"/>
      <c r="F14" s="19">
        <v>1</v>
      </c>
      <c r="G14" s="19"/>
      <c r="H14" s="65">
        <f t="shared" si="0"/>
        <v>5.0000000000000001E-3</v>
      </c>
    </row>
    <row r="15" spans="1:8">
      <c r="A15" s="19" t="s">
        <v>12</v>
      </c>
      <c r="B15">
        <v>1000</v>
      </c>
      <c r="C15" s="19">
        <v>4</v>
      </c>
      <c r="D15" s="19" t="s">
        <v>103</v>
      </c>
      <c r="E15" s="19"/>
      <c r="F15" s="19">
        <v>1</v>
      </c>
      <c r="G15" s="19"/>
      <c r="H15" s="65">
        <f t="shared" si="0"/>
        <v>4.0000000000000001E-3</v>
      </c>
    </row>
    <row r="16" spans="1:8">
      <c r="A16" s="19" t="s">
        <v>42</v>
      </c>
      <c r="B16">
        <v>1000</v>
      </c>
      <c r="C16" s="19">
        <v>20</v>
      </c>
      <c r="D16" s="19" t="s">
        <v>105</v>
      </c>
      <c r="E16" s="19"/>
      <c r="F16" s="19">
        <v>40</v>
      </c>
      <c r="G16" s="19"/>
      <c r="H16" s="65">
        <f t="shared" si="0"/>
        <v>0.02</v>
      </c>
    </row>
    <row r="17" spans="1:8">
      <c r="A17" s="19" t="s">
        <v>13</v>
      </c>
      <c r="B17">
        <v>1000</v>
      </c>
      <c r="C17" s="19">
        <v>78.5</v>
      </c>
      <c r="D17" s="19" t="s">
        <v>106</v>
      </c>
      <c r="E17" s="19"/>
      <c r="F17" s="19">
        <v>1</v>
      </c>
      <c r="G17" s="19"/>
      <c r="H17" s="65">
        <f t="shared" si="0"/>
        <v>7.85E-2</v>
      </c>
    </row>
    <row r="18" spans="1:8">
      <c r="A18" s="19" t="s">
        <v>14</v>
      </c>
      <c r="B18">
        <v>1000</v>
      </c>
      <c r="C18" s="19">
        <v>2.5</v>
      </c>
      <c r="D18" s="19" t="s">
        <v>103</v>
      </c>
      <c r="E18" s="19"/>
      <c r="F18" s="19">
        <v>1</v>
      </c>
      <c r="G18" s="19"/>
      <c r="H18" s="65">
        <f t="shared" si="0"/>
        <v>2.5000000000000001E-3</v>
      </c>
    </row>
    <row r="19" spans="1:8">
      <c r="A19" s="19" t="s">
        <v>46</v>
      </c>
      <c r="B19">
        <v>1</v>
      </c>
      <c r="C19" s="19">
        <v>0</v>
      </c>
      <c r="D19" s="19"/>
      <c r="E19" s="19"/>
      <c r="F19" s="19">
        <v>0</v>
      </c>
      <c r="G19" s="19"/>
      <c r="H19" s="65">
        <f t="shared" si="0"/>
        <v>0</v>
      </c>
    </row>
    <row r="20" spans="1:8">
      <c r="A20" s="19" t="s">
        <v>62</v>
      </c>
      <c r="B20">
        <v>1000</v>
      </c>
      <c r="C20" s="19">
        <v>390</v>
      </c>
      <c r="D20" s="19" t="s">
        <v>107</v>
      </c>
      <c r="E20" s="19"/>
      <c r="F20" s="19">
        <v>2</v>
      </c>
      <c r="G20" s="19"/>
      <c r="H20" s="65">
        <f t="shared" si="0"/>
        <v>0.39</v>
      </c>
    </row>
    <row r="21" spans="1:8">
      <c r="A21" s="19" t="s">
        <v>64</v>
      </c>
      <c r="B21">
        <v>1</v>
      </c>
      <c r="C21" s="19">
        <v>0</v>
      </c>
      <c r="D21" s="19"/>
      <c r="E21" s="19"/>
      <c r="F21" s="19">
        <v>0</v>
      </c>
      <c r="G21" s="19"/>
      <c r="H21" s="65">
        <f t="shared" si="0"/>
        <v>0</v>
      </c>
    </row>
    <row r="22" spans="1:8">
      <c r="A22" s="19" t="s">
        <v>98</v>
      </c>
      <c r="C22" s="19"/>
      <c r="D22" s="19" t="s">
        <v>103</v>
      </c>
      <c r="E22" s="19"/>
      <c r="F22" s="19"/>
      <c r="G22" s="19"/>
      <c r="H22" s="65">
        <v>0</v>
      </c>
    </row>
    <row r="23" spans="1:8">
      <c r="A23" s="19" t="s">
        <v>108</v>
      </c>
      <c r="B23">
        <v>1000</v>
      </c>
      <c r="C23" s="19">
        <v>8.8000000000000007</v>
      </c>
      <c r="D23" s="19" t="s">
        <v>103</v>
      </c>
      <c r="E23" s="19"/>
      <c r="F23" s="19">
        <v>25</v>
      </c>
      <c r="G23" s="19"/>
      <c r="H23" s="65">
        <f t="shared" si="0"/>
        <v>8.8000000000000005E-3</v>
      </c>
    </row>
    <row r="24" spans="1:8">
      <c r="A24" s="102" t="s">
        <v>17</v>
      </c>
      <c r="B24" s="102"/>
      <c r="C24" s="102"/>
      <c r="D24" s="102"/>
      <c r="E24" s="102"/>
      <c r="F24" s="102"/>
      <c r="G24" s="102"/>
      <c r="H24" s="102"/>
    </row>
    <row r="25" spans="1:8">
      <c r="A25" s="102"/>
      <c r="B25" s="102"/>
      <c r="C25" s="102"/>
      <c r="D25" s="102"/>
      <c r="E25" s="102"/>
      <c r="F25" s="102"/>
      <c r="G25" s="102"/>
      <c r="H25" s="102"/>
    </row>
    <row r="26" spans="1:8" ht="16" thickBot="1">
      <c r="A26" s="102"/>
      <c r="B26" s="102"/>
      <c r="C26" s="102"/>
      <c r="D26" s="102"/>
      <c r="E26" s="102"/>
      <c r="F26" s="102"/>
      <c r="G26" s="102"/>
      <c r="H26" s="102"/>
    </row>
    <row r="27" spans="1:8" ht="16" thickBot="1">
      <c r="A27" s="68" t="s">
        <v>17</v>
      </c>
      <c r="B27" s="69"/>
      <c r="C27" s="69" t="s">
        <v>33</v>
      </c>
      <c r="D27" s="69" t="s">
        <v>34</v>
      </c>
      <c r="E27" s="69"/>
      <c r="F27" s="69" t="s">
        <v>35</v>
      </c>
      <c r="G27" s="69"/>
      <c r="H27" s="70" t="s">
        <v>19</v>
      </c>
    </row>
    <row r="28" spans="1:8">
      <c r="A28" s="19"/>
      <c r="B28" s="19"/>
      <c r="C28" s="19"/>
      <c r="D28" s="19"/>
      <c r="E28" s="19"/>
      <c r="F28" s="19"/>
      <c r="G28" s="19"/>
      <c r="H28" s="19"/>
    </row>
    <row r="29" spans="1:8">
      <c r="A29" s="17" t="s">
        <v>18</v>
      </c>
      <c r="B29" s="19"/>
      <c r="C29" s="17">
        <v>1500</v>
      </c>
      <c r="D29" s="17">
        <f>C29*12</f>
        <v>18000</v>
      </c>
      <c r="E29" s="19"/>
      <c r="F29" s="17">
        <f>'synthèse des marges'!J19</f>
        <v>3200</v>
      </c>
      <c r="G29" s="19"/>
      <c r="H29" s="17">
        <f>ROUND(C29/F29,2)</f>
        <v>0.47</v>
      </c>
    </row>
    <row r="30" spans="1:8">
      <c r="A30" s="18" t="s">
        <v>20</v>
      </c>
      <c r="B30" s="19"/>
      <c r="C30" s="18">
        <v>200</v>
      </c>
      <c r="D30" s="18">
        <f t="shared" ref="D30:D40" si="1">C30*12</f>
        <v>2400</v>
      </c>
      <c r="E30" s="19"/>
      <c r="F30" s="18">
        <f>IF(A30&lt;&gt;"",F29,"")</f>
        <v>3200</v>
      </c>
      <c r="G30" s="19"/>
      <c r="H30" s="17">
        <f t="shared" ref="H30:H41" si="2">ROUND(C30/F30,2)</f>
        <v>0.06</v>
      </c>
    </row>
    <row r="31" spans="1:8">
      <c r="A31" s="18" t="s">
        <v>21</v>
      </c>
      <c r="B31" s="19"/>
      <c r="C31" s="18">
        <v>200</v>
      </c>
      <c r="D31" s="18">
        <f t="shared" si="1"/>
        <v>2400</v>
      </c>
      <c r="E31" s="19"/>
      <c r="F31" s="18">
        <f t="shared" ref="F31:F49" si="3">IF(A31&lt;&gt;"",F30,"")</f>
        <v>3200</v>
      </c>
      <c r="G31" s="19"/>
      <c r="H31" s="17">
        <f t="shared" si="2"/>
        <v>0.06</v>
      </c>
    </row>
    <row r="32" spans="1:8">
      <c r="A32" s="18" t="s">
        <v>23</v>
      </c>
      <c r="B32" s="19"/>
      <c r="C32" s="18">
        <v>6000</v>
      </c>
      <c r="D32" s="18">
        <f t="shared" si="1"/>
        <v>72000</v>
      </c>
      <c r="E32" s="19"/>
      <c r="F32" s="18">
        <f t="shared" si="3"/>
        <v>3200</v>
      </c>
      <c r="G32" s="19"/>
      <c r="H32" s="17">
        <f t="shared" si="2"/>
        <v>1.88</v>
      </c>
    </row>
    <row r="33" spans="1:8">
      <c r="A33" s="18" t="s">
        <v>26</v>
      </c>
      <c r="B33" s="19"/>
      <c r="C33" s="18">
        <v>400</v>
      </c>
      <c r="D33" s="18">
        <f t="shared" si="1"/>
        <v>4800</v>
      </c>
      <c r="E33" s="19"/>
      <c r="F33" s="18">
        <f t="shared" si="3"/>
        <v>3200</v>
      </c>
      <c r="G33" s="19"/>
      <c r="H33" s="17">
        <f t="shared" si="2"/>
        <v>0.13</v>
      </c>
    </row>
    <row r="34" spans="1:8">
      <c r="A34" s="18" t="s">
        <v>22</v>
      </c>
      <c r="B34" s="19"/>
      <c r="C34" s="18">
        <v>100</v>
      </c>
      <c r="D34" s="18">
        <f t="shared" si="1"/>
        <v>1200</v>
      </c>
      <c r="E34" s="19"/>
      <c r="F34" s="18">
        <f t="shared" si="3"/>
        <v>3200</v>
      </c>
      <c r="G34" s="19"/>
      <c r="H34" s="17">
        <f t="shared" si="2"/>
        <v>0.03</v>
      </c>
    </row>
    <row r="35" spans="1:8">
      <c r="A35" s="18" t="s">
        <v>24</v>
      </c>
      <c r="B35" s="19"/>
      <c r="C35" s="18">
        <v>50</v>
      </c>
      <c r="D35" s="18">
        <f t="shared" si="1"/>
        <v>600</v>
      </c>
      <c r="E35" s="19"/>
      <c r="F35" s="18">
        <f t="shared" si="3"/>
        <v>3200</v>
      </c>
      <c r="G35" s="19"/>
      <c r="H35" s="17">
        <f t="shared" si="2"/>
        <v>0.02</v>
      </c>
    </row>
    <row r="36" spans="1:8">
      <c r="A36" s="18" t="s">
        <v>25</v>
      </c>
      <c r="B36" s="19"/>
      <c r="C36" s="18">
        <v>50</v>
      </c>
      <c r="D36" s="18">
        <f t="shared" si="1"/>
        <v>600</v>
      </c>
      <c r="E36" s="19"/>
      <c r="F36" s="18">
        <f t="shared" si="3"/>
        <v>3200</v>
      </c>
      <c r="G36" s="19"/>
      <c r="H36" s="17">
        <f t="shared" si="2"/>
        <v>0.02</v>
      </c>
    </row>
    <row r="37" spans="1:8">
      <c r="A37" s="18" t="s">
        <v>27</v>
      </c>
      <c r="B37" s="19"/>
      <c r="C37" s="18">
        <v>100</v>
      </c>
      <c r="D37" s="18">
        <f t="shared" si="1"/>
        <v>1200</v>
      </c>
      <c r="E37" s="19"/>
      <c r="F37" s="18">
        <f t="shared" si="3"/>
        <v>3200</v>
      </c>
      <c r="G37" s="19"/>
      <c r="H37" s="17">
        <f t="shared" si="2"/>
        <v>0.03</v>
      </c>
    </row>
    <row r="38" spans="1:8">
      <c r="A38" s="18" t="s">
        <v>28</v>
      </c>
      <c r="B38" s="19"/>
      <c r="C38" s="18">
        <f>(Paramètres!B6 + Paramètres!B7/2) * 'synthèse des marges'!K19/100</f>
        <v>276.52600000000001</v>
      </c>
      <c r="D38" s="18">
        <f t="shared" si="1"/>
        <v>3318.3119999999999</v>
      </c>
      <c r="E38" s="19"/>
      <c r="F38" s="18">
        <f t="shared" si="3"/>
        <v>3200</v>
      </c>
      <c r="G38" s="19"/>
      <c r="H38" s="17">
        <f t="shared" si="2"/>
        <v>0.09</v>
      </c>
    </row>
    <row r="39" spans="1:8">
      <c r="A39" s="18" t="s">
        <v>29</v>
      </c>
      <c r="B39" s="19"/>
      <c r="C39" s="18">
        <v>72</v>
      </c>
      <c r="D39" s="18">
        <f t="shared" si="1"/>
        <v>864</v>
      </c>
      <c r="E39" s="19"/>
      <c r="F39" s="18">
        <f t="shared" si="3"/>
        <v>3200</v>
      </c>
      <c r="G39" s="19"/>
      <c r="H39" s="17">
        <f t="shared" si="2"/>
        <v>0.02</v>
      </c>
    </row>
    <row r="40" spans="1:8">
      <c r="A40" s="18" t="s">
        <v>30</v>
      </c>
      <c r="B40" s="19"/>
      <c r="C40" s="18">
        <v>100</v>
      </c>
      <c r="D40" s="18">
        <f t="shared" si="1"/>
        <v>1200</v>
      </c>
      <c r="E40" s="19"/>
      <c r="F40" s="18">
        <f t="shared" si="3"/>
        <v>3200</v>
      </c>
      <c r="G40" s="19"/>
      <c r="H40" s="17">
        <f t="shared" si="2"/>
        <v>0.03</v>
      </c>
    </row>
    <row r="41" spans="1:8">
      <c r="A41" s="18" t="s">
        <v>45</v>
      </c>
      <c r="B41" s="19"/>
      <c r="C41" s="18">
        <v>72</v>
      </c>
      <c r="D41" s="18">
        <f>C41*12</f>
        <v>864</v>
      </c>
      <c r="E41" s="19"/>
      <c r="F41" s="18">
        <f>IF(A41&lt;&gt;"",F40,"")</f>
        <v>3200</v>
      </c>
      <c r="G41" s="19"/>
      <c r="H41" s="17">
        <f t="shared" si="2"/>
        <v>0.02</v>
      </c>
    </row>
    <row r="42" spans="1:8">
      <c r="A42" s="18"/>
      <c r="B42" s="19"/>
      <c r="C42" s="18"/>
      <c r="D42" s="18" t="str">
        <f>IF(C42&lt;&gt;"",C42*12,"")</f>
        <v/>
      </c>
      <c r="E42" s="19"/>
      <c r="F42" s="18" t="str">
        <f t="shared" si="3"/>
        <v/>
      </c>
      <c r="G42" s="19"/>
      <c r="H42" s="18" t="str">
        <f>IFERROR(ROUND(C42/F42,2),"")</f>
        <v/>
      </c>
    </row>
    <row r="43" spans="1:8">
      <c r="A43" s="18"/>
      <c r="B43" s="19"/>
      <c r="C43" s="18"/>
      <c r="D43" s="18" t="str">
        <f t="shared" ref="D43:D48" si="4">IF(B43&lt;&gt;"",C43*12,"")</f>
        <v/>
      </c>
      <c r="E43" s="19"/>
      <c r="F43" s="18" t="str">
        <f t="shared" si="3"/>
        <v/>
      </c>
      <c r="G43" s="19"/>
      <c r="H43" s="18"/>
    </row>
    <row r="44" spans="1:8">
      <c r="A44" s="18"/>
      <c r="B44" s="19"/>
      <c r="C44" s="18"/>
      <c r="D44" s="18" t="str">
        <f t="shared" si="4"/>
        <v/>
      </c>
      <c r="E44" s="19"/>
      <c r="F44" s="18" t="str">
        <f t="shared" si="3"/>
        <v/>
      </c>
      <c r="G44" s="19"/>
      <c r="H44" s="18"/>
    </row>
    <row r="45" spans="1:8">
      <c r="A45" s="18"/>
      <c r="B45" s="19"/>
      <c r="C45" s="18"/>
      <c r="D45" s="18" t="str">
        <f t="shared" si="4"/>
        <v/>
      </c>
      <c r="E45" s="19"/>
      <c r="F45" s="18" t="str">
        <f t="shared" si="3"/>
        <v/>
      </c>
      <c r="G45" s="19"/>
      <c r="H45" s="18"/>
    </row>
    <row r="46" spans="1:8">
      <c r="A46" s="18"/>
      <c r="B46" s="19"/>
      <c r="C46" s="18"/>
      <c r="D46" s="18" t="str">
        <f t="shared" si="4"/>
        <v/>
      </c>
      <c r="E46" s="19"/>
      <c r="F46" s="18" t="str">
        <f t="shared" si="3"/>
        <v/>
      </c>
      <c r="G46" s="19"/>
      <c r="H46" s="18"/>
    </row>
    <row r="47" spans="1:8">
      <c r="A47" s="18"/>
      <c r="B47" s="19"/>
      <c r="C47" s="18"/>
      <c r="D47" s="18" t="str">
        <f t="shared" si="4"/>
        <v/>
      </c>
      <c r="E47" s="19"/>
      <c r="F47" s="18" t="str">
        <f t="shared" si="3"/>
        <v/>
      </c>
      <c r="G47" s="19"/>
      <c r="H47" s="18"/>
    </row>
    <row r="48" spans="1:8">
      <c r="A48" s="18"/>
      <c r="B48" s="19"/>
      <c r="C48" s="18"/>
      <c r="D48" s="18" t="str">
        <f t="shared" si="4"/>
        <v/>
      </c>
      <c r="E48" s="19"/>
      <c r="F48" s="18" t="str">
        <f t="shared" si="3"/>
        <v/>
      </c>
      <c r="G48" s="19"/>
      <c r="H48" s="18"/>
    </row>
    <row r="49" spans="1:8" ht="16" thickBot="1">
      <c r="A49" s="18"/>
      <c r="B49" s="19"/>
      <c r="C49" s="18"/>
      <c r="D49" s="18"/>
      <c r="E49" s="19"/>
      <c r="F49" s="18" t="str">
        <f t="shared" si="3"/>
        <v/>
      </c>
      <c r="G49" s="19"/>
      <c r="H49" s="18"/>
    </row>
    <row r="50" spans="1:8" ht="16" thickBot="1">
      <c r="A50" s="20" t="s">
        <v>33</v>
      </c>
      <c r="B50" s="21"/>
      <c r="C50" s="21">
        <f>SUM(C29:C48)</f>
        <v>9120.5259999999998</v>
      </c>
      <c r="D50" s="21">
        <f>SUM(D29:D48)</f>
        <v>109446.31200000001</v>
      </c>
      <c r="E50" s="21"/>
      <c r="F50" s="21" t="s">
        <v>36</v>
      </c>
      <c r="G50" s="21"/>
      <c r="H50" s="22">
        <f>SUM(H29:H40)</f>
        <v>2.839999999999999</v>
      </c>
    </row>
  </sheetData>
  <sheetProtection sheet="1" objects="1" scenarios="1"/>
  <mergeCells count="2">
    <mergeCell ref="A1:H3"/>
    <mergeCell ref="A24:H26"/>
  </mergeCells>
  <pageMargins left="0.7" right="0.7" top="0.75" bottom="0.75" header="0.3" footer="0.3"/>
  <pageSetup paperSize="9" orientation="portrait" horizontalDpi="0" verticalDpi="0"/>
  <headerFooter>
    <oddHeader xml:space="preserve">&amp;C&amp;"System Font,Regular"&amp;10&amp;K000000calcule des unité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8338-0409-CD4E-8CC4-32DA680F83AC}">
  <sheetPr codeName="Feuil3"/>
  <dimension ref="A1:H40"/>
  <sheetViews>
    <sheetView view="pageBreakPreview" zoomScaleNormal="100" zoomScaleSheetLayoutView="100" workbookViewId="0">
      <selection activeCell="A11" sqref="A11"/>
    </sheetView>
  </sheetViews>
  <sheetFormatPr baseColWidth="10" defaultRowHeight="15"/>
  <cols>
    <col min="1" max="1" width="18.6640625" customWidth="1"/>
    <col min="2" max="4" width="10.83203125" customWidth="1"/>
    <col min="5" max="5" width="21.83203125" customWidth="1"/>
    <col min="7" max="7" width="7" customWidth="1"/>
    <col min="8" max="8" width="16" customWidth="1"/>
  </cols>
  <sheetData>
    <row r="1" spans="1:8" ht="20" customHeight="1">
      <c r="A1" s="103" t="str">
        <f>'synthèse des marges'!A4</f>
        <v>Café créme</v>
      </c>
      <c r="B1" s="103"/>
      <c r="C1" s="103"/>
      <c r="D1" s="103"/>
      <c r="E1" s="103"/>
      <c r="F1" s="2"/>
      <c r="G1" s="2"/>
      <c r="H1" s="2"/>
    </row>
    <row r="2" spans="1:8" ht="20" customHeight="1">
      <c r="A2" s="103"/>
      <c r="B2" s="103"/>
      <c r="C2" s="103"/>
      <c r="D2" s="103"/>
      <c r="E2" s="103"/>
      <c r="F2" s="2"/>
      <c r="G2" s="2"/>
      <c r="H2" s="2"/>
    </row>
    <row r="3" spans="1:8" ht="20" customHeight="1">
      <c r="A3" s="103"/>
      <c r="B3" s="103"/>
      <c r="C3" s="103"/>
      <c r="D3" s="103"/>
      <c r="E3" s="103"/>
      <c r="F3" s="2"/>
      <c r="G3" s="2"/>
      <c r="H3" s="2"/>
    </row>
    <row r="4" spans="1:8" ht="20" customHeight="1">
      <c r="A4" s="103"/>
      <c r="B4" s="103"/>
      <c r="C4" s="103"/>
      <c r="D4" s="103"/>
      <c r="E4" s="103"/>
      <c r="F4" s="2"/>
      <c r="G4" s="2"/>
      <c r="H4" s="2"/>
    </row>
    <row r="5" spans="1:8" ht="20" customHeight="1">
      <c r="A5" s="30">
        <f ca="1">Paramètres!B3</f>
        <v>45970</v>
      </c>
    </row>
    <row r="6" spans="1:8" ht="20" customHeight="1">
      <c r="A6" s="57" t="s">
        <v>91</v>
      </c>
      <c r="B6" s="57" t="s">
        <v>95</v>
      </c>
      <c r="C6" s="57" t="s">
        <v>92</v>
      </c>
      <c r="D6" s="57" t="s">
        <v>93</v>
      </c>
      <c r="E6" s="57" t="s">
        <v>94</v>
      </c>
      <c r="F6" s="37"/>
      <c r="H6" s="3"/>
    </row>
    <row r="7" spans="1:8" ht="20" customHeight="1">
      <c r="A7" s="7"/>
      <c r="B7" s="7"/>
      <c r="C7" s="7"/>
      <c r="D7" s="7"/>
      <c r="E7" s="7"/>
      <c r="H7" s="3"/>
    </row>
    <row r="8" spans="1:8" ht="20" customHeight="1">
      <c r="A8" s="8" t="s">
        <v>10</v>
      </c>
      <c r="B8" s="24">
        <f>_xlfn.XLOOKUP('Café crème'!A8, 'Matières premières'!$A$4:$A$21, 'Matières premières'!$H$4:$H$21)</f>
        <v>2.8000000000000001E-2</v>
      </c>
      <c r="C8" s="23">
        <v>16</v>
      </c>
      <c r="D8" s="23" t="s">
        <v>32</v>
      </c>
      <c r="E8" s="23">
        <f>B8*C8</f>
        <v>0.44800000000000001</v>
      </c>
      <c r="H8" s="3"/>
    </row>
    <row r="9" spans="1:8" ht="20" customHeight="1">
      <c r="A9" s="33" t="s">
        <v>7</v>
      </c>
      <c r="B9" s="24">
        <f>_xlfn.XLOOKUP('Café crème'!A9, 'Matières premières'!$A$4:$A$21, 'Matières premières'!$H$4:$H$21)</f>
        <v>0.14649999999999999</v>
      </c>
      <c r="C9" s="23">
        <v>1</v>
      </c>
      <c r="D9" s="23" t="s">
        <v>32</v>
      </c>
      <c r="E9" s="23">
        <f>B9*C9</f>
        <v>0.14649999999999999</v>
      </c>
    </row>
    <row r="10" spans="1:8" ht="20" customHeight="1">
      <c r="A10" s="33" t="s">
        <v>6</v>
      </c>
      <c r="B10" s="24">
        <f>_xlfn.XLOOKUP('Café crème'!A10, 'Matières premières'!$A$4:$A$21, 'Matières premières'!$H$4:$H$21)</f>
        <v>0.01</v>
      </c>
      <c r="C10" s="23">
        <v>5</v>
      </c>
      <c r="D10" s="23" t="s">
        <v>32</v>
      </c>
      <c r="E10" s="23">
        <f>B10*C10</f>
        <v>0.05</v>
      </c>
    </row>
    <row r="11" spans="1:8" ht="20" customHeight="1">
      <c r="A11" s="36"/>
      <c r="B11" s="35">
        <f>_xlfn.XLOOKUP('Café crème'!A11, 'Matières premières'!$A$4:$A$21, 'Matières premières'!$H$4:$H$21)</f>
        <v>0</v>
      </c>
      <c r="C11" s="34"/>
      <c r="D11" s="34"/>
      <c r="E11" s="34">
        <f>B11*C11</f>
        <v>0</v>
      </c>
    </row>
    <row r="12" spans="1:8" ht="20" customHeight="1">
      <c r="A12" s="10" t="s">
        <v>40</v>
      </c>
      <c r="B12" s="11"/>
      <c r="C12" s="11"/>
      <c r="D12" s="11"/>
      <c r="E12" s="15">
        <f>SUM(E8:E11)</f>
        <v>0.64450000000000007</v>
      </c>
    </row>
    <row r="13" spans="1:8" ht="20" customHeight="1">
      <c r="A13" s="7"/>
      <c r="B13" s="14"/>
      <c r="C13" s="14"/>
      <c r="D13" s="14"/>
      <c r="E13" s="14"/>
    </row>
    <row r="14" spans="1:8" ht="20" customHeight="1">
      <c r="A14" s="10" t="s">
        <v>17</v>
      </c>
      <c r="B14" s="11"/>
      <c r="C14" s="11"/>
      <c r="D14" s="11"/>
      <c r="E14" s="15">
        <f>'Matières premières'!H50</f>
        <v>2.839999999999999</v>
      </c>
    </row>
    <row r="15" spans="1:8" ht="20" customHeight="1">
      <c r="A15" s="7"/>
      <c r="B15" s="14"/>
      <c r="C15" s="14"/>
      <c r="D15" s="14"/>
      <c r="E15" s="14"/>
    </row>
    <row r="16" spans="1:8" ht="20" customHeight="1">
      <c r="A16" s="9" t="s">
        <v>0</v>
      </c>
      <c r="B16" s="11"/>
      <c r="C16" s="11"/>
      <c r="D16" s="11"/>
      <c r="E16" s="16">
        <f>E12+E14</f>
        <v>3.4844999999999988</v>
      </c>
    </row>
    <row r="17" spans="1:5" ht="20" customHeight="1">
      <c r="A17" s="9" t="s">
        <v>1</v>
      </c>
      <c r="B17" s="11"/>
      <c r="C17" s="11"/>
      <c r="D17" s="11"/>
      <c r="E17" s="16">
        <v>3.6</v>
      </c>
    </row>
    <row r="18" spans="1:5" ht="20" customHeight="1">
      <c r="A18" s="9" t="s">
        <v>2</v>
      </c>
      <c r="B18" s="11"/>
      <c r="C18" s="11"/>
      <c r="D18" s="11"/>
      <c r="E18" s="16">
        <f>ROUND(E17-E16,1)</f>
        <v>0.1</v>
      </c>
    </row>
    <row r="19" spans="1:5" ht="20" customHeight="1">
      <c r="A19" s="10" t="s">
        <v>3</v>
      </c>
      <c r="B19" s="11"/>
      <c r="C19" s="11"/>
      <c r="D19" s="11"/>
      <c r="E19" s="31">
        <f>(E18/E16)</f>
        <v>2.8698522026115666E-2</v>
      </c>
    </row>
    <row r="20" spans="1:5" ht="15" customHeight="1">
      <c r="E20" s="1"/>
    </row>
    <row r="21" spans="1:5" ht="15" customHeight="1">
      <c r="A21" s="9" t="s">
        <v>78</v>
      </c>
      <c r="E21" s="19">
        <f>IF(OR(E19&gt;50%,E17&lt;-50%),"",E16+(0.5*E16))</f>
        <v>5.2267499999999982</v>
      </c>
    </row>
    <row r="24" spans="1:5">
      <c r="E24" s="1"/>
    </row>
    <row r="26" spans="1:5">
      <c r="E26" s="1"/>
    </row>
    <row r="37" spans="5:5">
      <c r="E37" s="1"/>
    </row>
    <row r="38" spans="5:5">
      <c r="E38" s="1"/>
    </row>
    <row r="39" spans="5:5">
      <c r="E39" s="1"/>
    </row>
    <row r="40" spans="5:5">
      <c r="E40" s="4"/>
    </row>
  </sheetData>
  <sheetProtection sheet="1" objects="1" scenarios="1"/>
  <mergeCells count="1">
    <mergeCell ref="A1:E4"/>
  </mergeCells>
  <conditionalFormatting sqref="E19">
    <cfRule type="colorScale" priority="1">
      <colorScale>
        <cfvo type="num" val="0.49"/>
        <cfvo type="num" val="0.5"/>
        <color rgb="FFFF7128"/>
        <color rgb="FF00B050"/>
      </colorScale>
    </cfRule>
  </conditionalFormatting>
  <conditionalFormatting sqref="E40">
    <cfRule type="colorScale" priority="17">
      <colorScale>
        <cfvo type="num" val="40"/>
        <cfvo type="num" val="70"/>
        <color rgb="FFFF7128"/>
        <color rgb="FFFFEF9C"/>
      </colorScale>
    </cfRule>
    <cfRule type="colorScale" priority="18">
      <colorScale>
        <cfvo type="min"/>
        <cfvo type="max"/>
        <color rgb="FFFF7128"/>
        <color rgb="FFFFEF9C"/>
      </colorScale>
    </cfRule>
    <cfRule type="colorScale" priority="19">
      <colorScale>
        <cfvo type="min"/>
        <cfvo type="max"/>
        <color rgb="FFFF7128"/>
        <color rgb="FFFFEF9C"/>
      </colorScale>
    </cfRule>
  </conditionalFormatting>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4FFF2-C8A7-3946-9630-8E7246F02238}">
  <sheetPr codeName="Feuil4"/>
  <dimension ref="A1:E40"/>
  <sheetViews>
    <sheetView view="pageBreakPreview" zoomScaleNormal="100" zoomScaleSheetLayoutView="100" workbookViewId="0">
      <selection activeCell="A21" sqref="A21"/>
    </sheetView>
  </sheetViews>
  <sheetFormatPr baseColWidth="10" defaultRowHeight="15"/>
  <cols>
    <col min="1" max="1" width="18.6640625" customWidth="1"/>
    <col min="2" max="3" width="10.83203125" customWidth="1"/>
    <col min="5" max="5" width="21.83203125" customWidth="1"/>
  </cols>
  <sheetData>
    <row r="1" spans="1:5" ht="20" customHeight="1">
      <c r="A1" s="103" t="str">
        <f>'synthèse des marges'!A5</f>
        <v>Cappuccino</v>
      </c>
      <c r="B1" s="103"/>
      <c r="C1" s="103"/>
      <c r="D1" s="103"/>
      <c r="E1" s="103"/>
    </row>
    <row r="2" spans="1:5" ht="20" customHeight="1">
      <c r="A2" s="103"/>
      <c r="B2" s="103"/>
      <c r="C2" s="103"/>
      <c r="D2" s="103"/>
      <c r="E2" s="103"/>
    </row>
    <row r="3" spans="1:5" ht="20" customHeight="1">
      <c r="A3" s="103"/>
      <c r="B3" s="103"/>
      <c r="C3" s="103"/>
      <c r="D3" s="103"/>
      <c r="E3" s="103"/>
    </row>
    <row r="4" spans="1:5" ht="20" customHeight="1">
      <c r="A4" s="103"/>
      <c r="B4" s="103"/>
      <c r="C4" s="103"/>
      <c r="D4" s="103"/>
      <c r="E4" s="103"/>
    </row>
    <row r="5" spans="1:5" ht="20" customHeight="1"/>
    <row r="6" spans="1:5" ht="20" customHeight="1">
      <c r="A6" s="58" t="s">
        <v>91</v>
      </c>
      <c r="B6" s="58" t="s">
        <v>95</v>
      </c>
      <c r="C6" s="58" t="s">
        <v>92</v>
      </c>
      <c r="D6" s="58" t="s">
        <v>93</v>
      </c>
      <c r="E6" s="58" t="s">
        <v>94</v>
      </c>
    </row>
    <row r="7" spans="1:5" ht="20" customHeight="1">
      <c r="A7" s="7"/>
      <c r="B7" s="7"/>
      <c r="C7" s="7"/>
      <c r="D7" s="7"/>
      <c r="E7" s="7"/>
    </row>
    <row r="8" spans="1:5" ht="20" customHeight="1">
      <c r="A8" s="8" t="s">
        <v>9</v>
      </c>
      <c r="B8" s="24">
        <f>_xlfn.XLOOKUP(Cappuccino!A8, 'Matières premières'!$A$4:$A$21, 'Matières premières'!$H$4:$H$21)</f>
        <v>3.1E-2</v>
      </c>
      <c r="C8" s="23">
        <v>16</v>
      </c>
      <c r="D8" s="23" t="s">
        <v>32</v>
      </c>
      <c r="E8" s="23">
        <f>B8*C8</f>
        <v>0.496</v>
      </c>
    </row>
    <row r="9" spans="1:5" ht="20" customHeight="1">
      <c r="A9" s="8" t="s">
        <v>4</v>
      </c>
      <c r="B9" s="24">
        <f>_xlfn.XLOOKUP(Cappuccino!A9, 'Matières premières'!$A$4:$A$21, 'Matières premières'!$H$4:$H$21)</f>
        <v>1.1999999999999999E-3</v>
      </c>
      <c r="C9" s="23">
        <v>120</v>
      </c>
      <c r="D9" s="23"/>
      <c r="E9" s="23">
        <f>B9*C9</f>
        <v>0.14399999999999999</v>
      </c>
    </row>
    <row r="10" spans="1:5" ht="20" customHeight="1">
      <c r="A10" s="33" t="s">
        <v>6</v>
      </c>
      <c r="B10" s="24">
        <f>_xlfn.XLOOKUP(Cappuccino!A10, 'Matières premières'!$A$4:$A$21, 'Matières premières'!$H$4:$H$21)</f>
        <v>0.01</v>
      </c>
      <c r="C10" s="23">
        <v>5</v>
      </c>
      <c r="D10" s="23"/>
      <c r="E10" s="23">
        <f>B10*C10</f>
        <v>0.05</v>
      </c>
    </row>
    <row r="11" spans="1:5" ht="20" customHeight="1">
      <c r="A11" s="36" t="s">
        <v>56</v>
      </c>
      <c r="B11" s="35">
        <f>_xlfn.XLOOKUP(Cappuccino!A11, 'Matières premières'!$A$4:$A$21, 'Matières premières'!$H$4:$H$21)</f>
        <v>0.02</v>
      </c>
      <c r="C11" s="34">
        <v>10</v>
      </c>
      <c r="D11" s="34"/>
      <c r="E11" s="34">
        <f>B11*C11</f>
        <v>0.2</v>
      </c>
    </row>
    <row r="12" spans="1:5" ht="20" customHeight="1">
      <c r="A12" s="10" t="s">
        <v>40</v>
      </c>
      <c r="B12" s="11"/>
      <c r="C12" s="11"/>
      <c r="D12" s="11"/>
      <c r="E12" s="15">
        <f>SUM(E8:E11)</f>
        <v>0.89000000000000012</v>
      </c>
    </row>
    <row r="13" spans="1:5" ht="20" customHeight="1">
      <c r="A13" s="7"/>
      <c r="B13" s="14"/>
      <c r="C13" s="14"/>
      <c r="D13" s="14"/>
      <c r="E13" s="14"/>
    </row>
    <row r="14" spans="1:5" ht="20" customHeight="1">
      <c r="A14" s="10" t="s">
        <v>17</v>
      </c>
      <c r="B14" s="11"/>
      <c r="C14" s="11"/>
      <c r="D14" s="11"/>
      <c r="E14" s="15">
        <f>'Matières premières'!H50</f>
        <v>2.839999999999999</v>
      </c>
    </row>
    <row r="15" spans="1:5" ht="20" customHeight="1">
      <c r="A15" s="7"/>
      <c r="B15" s="14"/>
      <c r="C15" s="14"/>
      <c r="D15" s="14"/>
      <c r="E15" s="14"/>
    </row>
    <row r="16" spans="1:5" ht="20" customHeight="1">
      <c r="A16" s="9" t="s">
        <v>0</v>
      </c>
      <c r="B16" s="11"/>
      <c r="C16" s="11"/>
      <c r="D16" s="11"/>
      <c r="E16" s="16">
        <f>E12+E14</f>
        <v>3.7299999999999991</v>
      </c>
    </row>
    <row r="17" spans="1:5" ht="20" customHeight="1">
      <c r="A17" s="9" t="s">
        <v>1</v>
      </c>
      <c r="B17" s="11"/>
      <c r="C17" s="11"/>
      <c r="D17" s="11"/>
      <c r="E17" s="16">
        <v>4.3</v>
      </c>
    </row>
    <row r="18" spans="1:5" ht="20" customHeight="1">
      <c r="A18" s="9" t="s">
        <v>2</v>
      </c>
      <c r="B18" s="11"/>
      <c r="C18" s="11"/>
      <c r="D18" s="11"/>
      <c r="E18" s="16">
        <f>E17-E16</f>
        <v>0.57000000000000073</v>
      </c>
    </row>
    <row r="19" spans="1:5" ht="20" customHeight="1">
      <c r="A19" s="10" t="s">
        <v>3</v>
      </c>
      <c r="B19" s="11"/>
      <c r="C19" s="11"/>
      <c r="D19" s="11"/>
      <c r="E19" s="31">
        <f>(E18/E16)</f>
        <v>0.15281501340482598</v>
      </c>
    </row>
    <row r="20" spans="1:5">
      <c r="E20" s="1"/>
    </row>
    <row r="21" spans="1:5">
      <c r="A21" s="9" t="s">
        <v>78</v>
      </c>
      <c r="E21">
        <f>IF(OR(E19&gt;50%,E17&lt;-50%),"",E16+(0.5*E16))</f>
        <v>5.5949999999999989</v>
      </c>
    </row>
    <row r="22" spans="1:5">
      <c r="E22" s="1"/>
    </row>
    <row r="24" spans="1:5">
      <c r="E24" s="1"/>
    </row>
    <row r="26" spans="1:5">
      <c r="E26" s="1"/>
    </row>
    <row r="37" spans="5:5">
      <c r="E37" s="1"/>
    </row>
    <row r="38" spans="5:5">
      <c r="E38" s="1"/>
    </row>
    <row r="39" spans="5:5">
      <c r="E39" s="1"/>
    </row>
    <row r="40" spans="5:5">
      <c r="E40" s="1"/>
    </row>
  </sheetData>
  <sheetProtection sheet="1" objects="1" scenarios="1"/>
  <mergeCells count="1">
    <mergeCell ref="A1:E4"/>
  </mergeCells>
  <conditionalFormatting sqref="E19">
    <cfRule type="colorScale" priority="1">
      <colorScale>
        <cfvo type="num" val="0.49"/>
        <cfvo type="num" val="0.5"/>
        <color rgb="FFFF7128"/>
        <color rgb="FF00B050"/>
      </colorScale>
    </cfRule>
  </conditionalFormatting>
  <conditionalFormatting sqref="E40">
    <cfRule type="colorScale" priority="10">
      <colorScale>
        <cfvo type="num" val="40"/>
        <cfvo type="num" val="70"/>
        <cfvo type="num" val="80"/>
        <color rgb="FFFF7128"/>
        <color rgb="FFFFEB84"/>
        <color rgb="FF00B050"/>
      </colorScale>
    </cfRule>
    <cfRule type="colorScale" priority="11">
      <colorScale>
        <cfvo type="num" val="40"/>
        <cfvo type="num" val="70"/>
        <color rgb="FFFF7128"/>
        <color rgb="FF00B050"/>
      </colorScale>
    </cfRule>
    <cfRule type="colorScale" priority="12">
      <colorScale>
        <cfvo type="num" val="40"/>
        <cfvo type="num" val="70"/>
        <color rgb="FFFF7128"/>
        <color rgb="FFFFEF9C"/>
      </colorScale>
    </cfRule>
    <cfRule type="colorScale" priority="13">
      <colorScale>
        <cfvo type="min"/>
        <cfvo type="max"/>
        <color rgb="FFFF7128"/>
        <color rgb="FFFFEF9C"/>
      </colorScale>
    </cfRule>
  </conditionalFormatting>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AB0B-6F9F-E141-8AB6-8BDCD5857E08}">
  <sheetPr codeName="Feuil5"/>
  <dimension ref="A1:E40"/>
  <sheetViews>
    <sheetView view="pageBreakPreview" zoomScaleNormal="100" zoomScaleSheetLayoutView="100" workbookViewId="0">
      <selection activeCell="A21" sqref="A21"/>
    </sheetView>
  </sheetViews>
  <sheetFormatPr baseColWidth="10" defaultRowHeight="15"/>
  <cols>
    <col min="1" max="1" width="18.6640625" customWidth="1"/>
    <col min="4" max="4" width="10.83203125" customWidth="1"/>
    <col min="5" max="5" width="21.83203125" customWidth="1"/>
  </cols>
  <sheetData>
    <row r="1" spans="1:5" ht="20" customHeight="1">
      <c r="A1" s="103" t="str">
        <f>'synthèse des marges'!A6</f>
        <v>Renversé/café au lait</v>
      </c>
      <c r="B1" s="103"/>
      <c r="C1" s="103"/>
      <c r="D1" s="103"/>
      <c r="E1" s="103"/>
    </row>
    <row r="2" spans="1:5" ht="20" customHeight="1">
      <c r="A2" s="103"/>
      <c r="B2" s="103"/>
      <c r="C2" s="103"/>
      <c r="D2" s="103"/>
      <c r="E2" s="103"/>
    </row>
    <row r="3" spans="1:5" ht="20" customHeight="1">
      <c r="A3" s="103"/>
      <c r="B3" s="103"/>
      <c r="C3" s="103"/>
      <c r="D3" s="103"/>
      <c r="E3" s="103"/>
    </row>
    <row r="4" spans="1:5" ht="20" customHeight="1">
      <c r="A4" s="103"/>
      <c r="B4" s="103"/>
      <c r="C4" s="103"/>
      <c r="D4" s="103"/>
      <c r="E4" s="103"/>
    </row>
    <row r="5" spans="1:5" ht="20" customHeight="1">
      <c r="A5" s="7"/>
      <c r="B5" s="7"/>
      <c r="C5" s="7"/>
      <c r="D5" s="7"/>
      <c r="E5" s="7"/>
    </row>
    <row r="6" spans="1:5" ht="20" customHeight="1">
      <c r="A6" s="58" t="s">
        <v>91</v>
      </c>
      <c r="B6" s="58" t="s">
        <v>95</v>
      </c>
      <c r="C6" s="58" t="s">
        <v>92</v>
      </c>
      <c r="D6" s="58" t="s">
        <v>93</v>
      </c>
      <c r="E6" s="58" t="s">
        <v>94</v>
      </c>
    </row>
    <row r="7" spans="1:5" ht="20" customHeight="1">
      <c r="A7" s="7"/>
      <c r="B7" s="7"/>
      <c r="C7" s="7"/>
      <c r="D7" s="7"/>
      <c r="E7" s="7"/>
    </row>
    <row r="8" spans="1:5" ht="20" customHeight="1">
      <c r="A8" s="8" t="s">
        <v>9</v>
      </c>
      <c r="B8" s="24">
        <f>_xlfn.XLOOKUP('Café au lait'!A8, 'Matières premières'!$A$4:$A$21, 'Matières premières'!$H$4:$H$21)</f>
        <v>3.1E-2</v>
      </c>
      <c r="C8" s="23">
        <v>16</v>
      </c>
      <c r="D8" s="23" t="s">
        <v>32</v>
      </c>
      <c r="E8" s="23">
        <f>B8*C8</f>
        <v>0.496</v>
      </c>
    </row>
    <row r="9" spans="1:5" ht="20" customHeight="1">
      <c r="A9" s="8" t="s">
        <v>4</v>
      </c>
      <c r="B9" s="24">
        <f>_xlfn.XLOOKUP('Café au lait'!A9, 'Matières premières'!$A$4:$A$21, 'Matières premières'!$H$4:$H$21)</f>
        <v>1.1999999999999999E-3</v>
      </c>
      <c r="C9" s="23">
        <v>150</v>
      </c>
      <c r="D9" s="23"/>
      <c r="E9" s="23">
        <f>B9*C9</f>
        <v>0.18</v>
      </c>
    </row>
    <row r="10" spans="1:5" ht="20" customHeight="1">
      <c r="A10" s="33" t="s">
        <v>6</v>
      </c>
      <c r="B10" s="24">
        <f>_xlfn.XLOOKUP('Café au lait'!A10, 'Matières premières'!$A$4:$A$21, 'Matières premières'!$H$4:$H$21)</f>
        <v>0.01</v>
      </c>
      <c r="C10" s="23">
        <v>5</v>
      </c>
      <c r="D10" s="23"/>
      <c r="E10" s="23">
        <f>B10*C10</f>
        <v>0.05</v>
      </c>
    </row>
    <row r="11" spans="1:5" ht="20" customHeight="1">
      <c r="A11" s="36"/>
      <c r="B11" s="35">
        <f>_xlfn.XLOOKUP('Café au lait'!A11, 'Matières premières'!$A$4:$A$21, 'Matières premières'!$H$4:$H$21)</f>
        <v>0</v>
      </c>
      <c r="C11" s="34"/>
      <c r="D11" s="34"/>
      <c r="E11" s="34">
        <f>B11*C11</f>
        <v>0</v>
      </c>
    </row>
    <row r="12" spans="1:5" ht="20" customHeight="1">
      <c r="A12" s="10" t="s">
        <v>40</v>
      </c>
      <c r="B12" s="11"/>
      <c r="C12" s="11"/>
      <c r="D12" s="11"/>
      <c r="E12" s="15">
        <f>SUM(E8:E11)</f>
        <v>0.72599999999999998</v>
      </c>
    </row>
    <row r="13" spans="1:5" ht="20" customHeight="1">
      <c r="A13" s="7"/>
      <c r="B13" s="14"/>
      <c r="C13" s="14"/>
      <c r="D13" s="14"/>
      <c r="E13" s="14"/>
    </row>
    <row r="14" spans="1:5" ht="20" customHeight="1">
      <c r="A14" s="10" t="s">
        <v>17</v>
      </c>
      <c r="B14" s="11"/>
      <c r="C14" s="11"/>
      <c r="D14" s="11"/>
      <c r="E14" s="15">
        <f>'Matières premières'!H50</f>
        <v>2.839999999999999</v>
      </c>
    </row>
    <row r="15" spans="1:5" ht="20" customHeight="1">
      <c r="A15" s="7"/>
      <c r="B15" s="14"/>
      <c r="C15" s="14"/>
      <c r="D15" s="14"/>
      <c r="E15" s="14"/>
    </row>
    <row r="16" spans="1:5" ht="20" customHeight="1">
      <c r="A16" s="9" t="s">
        <v>0</v>
      </c>
      <c r="B16" s="11"/>
      <c r="C16" s="11"/>
      <c r="D16" s="11"/>
      <c r="E16" s="16">
        <f>E12+E14</f>
        <v>3.5659999999999989</v>
      </c>
    </row>
    <row r="17" spans="1:5" ht="20" customHeight="1">
      <c r="A17" s="9" t="s">
        <v>1</v>
      </c>
      <c r="B17" s="11"/>
      <c r="C17" s="11"/>
      <c r="D17" s="11"/>
      <c r="E17" s="16">
        <v>4</v>
      </c>
    </row>
    <row r="18" spans="1:5" ht="20" customHeight="1">
      <c r="A18" s="9" t="s">
        <v>2</v>
      </c>
      <c r="B18" s="11"/>
      <c r="C18" s="11"/>
      <c r="D18" s="11"/>
      <c r="E18" s="16">
        <f>E17-E16</f>
        <v>0.43400000000000105</v>
      </c>
    </row>
    <row r="19" spans="1:5" ht="20" customHeight="1">
      <c r="A19" s="10" t="s">
        <v>3</v>
      </c>
      <c r="B19" s="11"/>
      <c r="C19" s="11"/>
      <c r="D19" s="11"/>
      <c r="E19" s="31">
        <f>(E18/E16)</f>
        <v>0.12170499158721289</v>
      </c>
    </row>
    <row r="20" spans="1:5">
      <c r="E20" s="1"/>
    </row>
    <row r="21" spans="1:5">
      <c r="A21" s="9" t="s">
        <v>78</v>
      </c>
      <c r="E21">
        <f>IF(OR(E19&gt;50%,E17&lt;-50%),"",E16+(0.5*E16))</f>
        <v>5.3489999999999984</v>
      </c>
    </row>
    <row r="22" spans="1:5">
      <c r="E22" s="1"/>
    </row>
    <row r="24" spans="1:5">
      <c r="E24" s="1"/>
    </row>
    <row r="26" spans="1:5">
      <c r="E26" s="1"/>
    </row>
    <row r="37" spans="5:5">
      <c r="E37" s="1"/>
    </row>
    <row r="38" spans="5:5">
      <c r="E38" s="1"/>
    </row>
    <row r="39" spans="5:5">
      <c r="E39" s="1"/>
    </row>
    <row r="40" spans="5:5">
      <c r="E40" s="1"/>
    </row>
  </sheetData>
  <sheetProtection sheet="1" objects="1" scenarios="1"/>
  <mergeCells count="1">
    <mergeCell ref="A1:E4"/>
  </mergeCells>
  <conditionalFormatting sqref="E19">
    <cfRule type="colorScale" priority="1">
      <colorScale>
        <cfvo type="num" val="0.49"/>
        <cfvo type="num" val="0.5"/>
        <color rgb="FFFF7128"/>
        <color rgb="FF00B050"/>
      </colorScale>
    </cfRule>
  </conditionalFormatting>
  <conditionalFormatting sqref="E40">
    <cfRule type="colorScale" priority="6">
      <colorScale>
        <cfvo type="num" val="40"/>
        <cfvo type="num" val="70"/>
        <cfvo type="num" val="80"/>
        <color rgb="FFFF7128"/>
        <color rgb="FFFFEB84"/>
        <color rgb="FF00B050"/>
      </colorScale>
    </cfRule>
    <cfRule type="colorScale" priority="7">
      <colorScale>
        <cfvo type="num" val="40"/>
        <cfvo type="num" val="70"/>
        <color rgb="FFFF7128"/>
        <color rgb="FF00B050"/>
      </colorScale>
    </cfRule>
    <cfRule type="colorScale" priority="8">
      <colorScale>
        <cfvo type="num" val="40"/>
        <cfvo type="num" val="70"/>
        <color rgb="FFFF7128"/>
        <color rgb="FFFFEF9C"/>
      </colorScale>
    </cfRule>
    <cfRule type="colorScale" priority="9">
      <colorScale>
        <cfvo type="min"/>
        <cfvo type="max"/>
        <color rgb="FFFF7128"/>
        <color rgb="FFFFEF9C"/>
      </colorScale>
    </cfRule>
  </conditionalFormatting>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1763-E3F3-FF4B-A4A0-C4A5414C610A}">
  <sheetPr codeName="Feuil6"/>
  <dimension ref="A1:O21"/>
  <sheetViews>
    <sheetView view="pageBreakPreview" zoomScaleNormal="100" zoomScaleSheetLayoutView="100" workbookViewId="0">
      <selection activeCell="A21" sqref="A21"/>
    </sheetView>
  </sheetViews>
  <sheetFormatPr baseColWidth="10" defaultRowHeight="15"/>
  <cols>
    <col min="1" max="1" width="18.6640625" customWidth="1"/>
    <col min="5" max="5" width="22" customWidth="1"/>
    <col min="6" max="6" width="18.6640625" customWidth="1"/>
    <col min="10" max="10" width="22.6640625" customWidth="1"/>
    <col min="11" max="11" width="18.6640625" customWidth="1"/>
    <col min="15" max="15" width="22.6640625" customWidth="1"/>
  </cols>
  <sheetData>
    <row r="1" spans="1:15" ht="20" customHeight="1">
      <c r="A1" s="104" t="str">
        <f>'synthèse des marges'!$A$7</f>
        <v>ice coffe latte</v>
      </c>
      <c r="B1" s="104"/>
      <c r="C1" s="104"/>
      <c r="D1" s="104"/>
      <c r="E1" s="104"/>
      <c r="F1" s="104" t="str">
        <f>'synthèse des marges'!$A$7</f>
        <v>ice coffe latte</v>
      </c>
      <c r="G1" s="104"/>
      <c r="H1" s="104"/>
      <c r="I1" s="104"/>
      <c r="J1" s="104"/>
      <c r="K1" s="104" t="str">
        <f>'synthèse des marges'!$A$7</f>
        <v>ice coffe latte</v>
      </c>
      <c r="L1" s="104"/>
      <c r="M1" s="104"/>
      <c r="N1" s="104"/>
      <c r="O1" s="104"/>
    </row>
    <row r="2" spans="1:15" ht="20" customHeight="1">
      <c r="A2" s="104"/>
      <c r="B2" s="104"/>
      <c r="C2" s="104"/>
      <c r="D2" s="104"/>
      <c r="E2" s="104"/>
      <c r="F2" s="104"/>
      <c r="G2" s="104"/>
      <c r="H2" s="104"/>
      <c r="I2" s="104"/>
      <c r="J2" s="104"/>
      <c r="K2" s="104"/>
      <c r="L2" s="104"/>
      <c r="M2" s="104"/>
      <c r="N2" s="104"/>
      <c r="O2" s="104"/>
    </row>
    <row r="3" spans="1:15" ht="20" customHeight="1">
      <c r="A3" s="104"/>
      <c r="B3" s="104"/>
      <c r="C3" s="104"/>
      <c r="D3" s="104"/>
      <c r="E3" s="104"/>
      <c r="F3" s="104"/>
      <c r="G3" s="104"/>
      <c r="H3" s="104"/>
      <c r="I3" s="104"/>
      <c r="J3" s="104"/>
      <c r="K3" s="104"/>
      <c r="L3" s="104"/>
      <c r="M3" s="104"/>
      <c r="N3" s="104"/>
      <c r="O3" s="104"/>
    </row>
    <row r="4" spans="1:15" ht="20" customHeight="1">
      <c r="A4" s="104"/>
      <c r="B4" s="104"/>
      <c r="C4" s="104"/>
      <c r="D4" s="104"/>
      <c r="E4" s="104"/>
      <c r="F4" s="104"/>
      <c r="G4" s="104"/>
      <c r="H4" s="104"/>
      <c r="I4" s="104"/>
      <c r="J4" s="104"/>
      <c r="K4" s="104"/>
      <c r="L4" s="104"/>
      <c r="M4" s="104"/>
      <c r="N4" s="104"/>
      <c r="O4" s="104"/>
    </row>
    <row r="5" spans="1:15" ht="20" customHeight="1">
      <c r="A5" s="7"/>
      <c r="B5" s="7"/>
      <c r="C5" s="7"/>
      <c r="D5" s="7"/>
      <c r="E5" s="7" t="s">
        <v>75</v>
      </c>
      <c r="F5" s="7"/>
      <c r="G5" s="7"/>
      <c r="H5" s="7"/>
      <c r="I5" s="7"/>
      <c r="J5" s="7" t="s">
        <v>76</v>
      </c>
      <c r="K5" s="7"/>
      <c r="L5" s="7"/>
      <c r="M5" s="7"/>
      <c r="N5" s="7"/>
      <c r="O5" s="7" t="s">
        <v>77</v>
      </c>
    </row>
    <row r="6" spans="1:15" ht="20" customHeight="1">
      <c r="A6" s="58" t="s">
        <v>91</v>
      </c>
      <c r="B6" s="58" t="s">
        <v>95</v>
      </c>
      <c r="C6" s="58" t="s">
        <v>92</v>
      </c>
      <c r="D6" s="58" t="s">
        <v>93</v>
      </c>
      <c r="E6" s="58" t="s">
        <v>94</v>
      </c>
      <c r="F6" s="58" t="s">
        <v>91</v>
      </c>
      <c r="G6" s="58" t="s">
        <v>95</v>
      </c>
      <c r="H6" s="58" t="s">
        <v>92</v>
      </c>
      <c r="I6" s="58" t="s">
        <v>93</v>
      </c>
      <c r="J6" s="58" t="s">
        <v>94</v>
      </c>
      <c r="K6" s="58" t="s">
        <v>91</v>
      </c>
      <c r="L6" s="58" t="s">
        <v>95</v>
      </c>
      <c r="M6" s="58" t="s">
        <v>92</v>
      </c>
      <c r="N6" s="58" t="s">
        <v>93</v>
      </c>
      <c r="O6" s="58" t="s">
        <v>94</v>
      </c>
    </row>
    <row r="7" spans="1:15" ht="20" customHeight="1">
      <c r="A7" s="14"/>
      <c r="B7" s="14"/>
      <c r="C7" s="14"/>
      <c r="D7" s="14"/>
      <c r="E7" s="14"/>
      <c r="F7" s="14"/>
      <c r="G7" s="14"/>
      <c r="H7" s="14"/>
      <c r="I7" s="14"/>
      <c r="J7" s="14"/>
      <c r="K7" s="14"/>
      <c r="L7" s="14"/>
      <c r="M7" s="14"/>
      <c r="N7" s="14"/>
      <c r="O7" s="14"/>
    </row>
    <row r="8" spans="1:15" ht="20" customHeight="1">
      <c r="A8" s="23" t="s">
        <v>9</v>
      </c>
      <c r="B8" s="24">
        <f>_xlfn.XLOOKUP('Ice coffee'!A8, 'Matières premières'!$A$4:$A$21, 'Matières premières'!$H$4:$H$21)</f>
        <v>3.1E-2</v>
      </c>
      <c r="C8" s="23">
        <v>16</v>
      </c>
      <c r="D8" s="23" t="s">
        <v>32</v>
      </c>
      <c r="E8" s="23">
        <f>B8*C8</f>
        <v>0.496</v>
      </c>
      <c r="F8" s="23" t="s">
        <v>9</v>
      </c>
      <c r="G8" s="24">
        <f>_xlfn.XLOOKUP('Ice coffee'!A8, 'Matières premières'!$A$4:$A$21, 'Matières premières'!$H$4:$H$21)</f>
        <v>3.1E-2</v>
      </c>
      <c r="H8" s="23">
        <v>16</v>
      </c>
      <c r="I8" s="23" t="s">
        <v>32</v>
      </c>
      <c r="J8" s="23">
        <f>G8*H8</f>
        <v>0.496</v>
      </c>
      <c r="K8" s="23" t="s">
        <v>9</v>
      </c>
      <c r="L8" s="24">
        <f>_xlfn.XLOOKUP('Ice coffee'!A8, 'Matières premières'!$A$4:$A$21, 'Matières premières'!$H$4:$H$21)</f>
        <v>3.1E-2</v>
      </c>
      <c r="M8" s="23">
        <v>16</v>
      </c>
      <c r="N8" s="23" t="s">
        <v>32</v>
      </c>
      <c r="O8" s="23">
        <f>L8*M8</f>
        <v>0.496</v>
      </c>
    </row>
    <row r="9" spans="1:15" ht="20" customHeight="1">
      <c r="A9" s="23" t="s">
        <v>4</v>
      </c>
      <c r="B9" s="24">
        <f>_xlfn.XLOOKUP('Ice coffee'!A9, 'Matières premières'!$A$4:$A$21, 'Matières premières'!$H$4:$H$21)</f>
        <v>1.1999999999999999E-3</v>
      </c>
      <c r="C9" s="23">
        <v>300</v>
      </c>
      <c r="D9" s="23"/>
      <c r="E9" s="23">
        <f>B9*C9</f>
        <v>0.36</v>
      </c>
      <c r="F9" s="23" t="s">
        <v>4</v>
      </c>
      <c r="G9" s="24">
        <f>_xlfn.XLOOKUP('Ice coffee'!A9, 'Matières premières'!$A$4:$A$21, 'Matières premières'!$H$4:$H$21)</f>
        <v>1.1999999999999999E-3</v>
      </c>
      <c r="H9" s="23">
        <v>400</v>
      </c>
      <c r="I9" s="23"/>
      <c r="J9" s="23">
        <f>G9*H9</f>
        <v>0.48</v>
      </c>
      <c r="K9" s="23" t="s">
        <v>4</v>
      </c>
      <c r="L9" s="24">
        <f>_xlfn.XLOOKUP('Ice coffee'!A9, 'Matières premières'!$A$4:$A$21, 'Matières premières'!$H$4:$H$21)</f>
        <v>1.1999999999999999E-3</v>
      </c>
      <c r="M9" s="23">
        <v>500</v>
      </c>
      <c r="N9" s="23"/>
      <c r="O9" s="23">
        <f>L9*M9</f>
        <v>0.6</v>
      </c>
    </row>
    <row r="10" spans="1:15" ht="20" customHeight="1">
      <c r="A10" s="33" t="s">
        <v>55</v>
      </c>
      <c r="B10" s="24">
        <f>_xlfn.XLOOKUP('Ice coffee'!A10, 'Matières premières'!$A$4:$A$21, 'Matières premières'!$H$4:$H$21)</f>
        <v>5.1999999999999998E-3</v>
      </c>
      <c r="C10" s="23">
        <v>10</v>
      </c>
      <c r="D10" s="23"/>
      <c r="E10" s="23">
        <f>B10*C10</f>
        <v>5.1999999999999998E-2</v>
      </c>
      <c r="F10" s="33" t="s">
        <v>55</v>
      </c>
      <c r="G10" s="24">
        <f>_xlfn.XLOOKUP('Ice coffee'!A10, 'Matières premières'!$A$4:$A$21, 'Matières premières'!$H$4:$H$21)</f>
        <v>5.1999999999999998E-3</v>
      </c>
      <c r="H10" s="23">
        <v>10</v>
      </c>
      <c r="I10" s="23"/>
      <c r="J10" s="23">
        <f>G10*H10</f>
        <v>5.1999999999999998E-2</v>
      </c>
      <c r="K10" s="33" t="s">
        <v>55</v>
      </c>
      <c r="L10" s="24">
        <f>_xlfn.XLOOKUP('Ice coffee'!A10, 'Matières premières'!$A$4:$A$21, 'Matières premières'!$H$4:$H$21)</f>
        <v>5.1999999999999998E-3</v>
      </c>
      <c r="M10" s="23">
        <v>10</v>
      </c>
      <c r="N10" s="23"/>
      <c r="O10" s="23">
        <f>L10*M10</f>
        <v>5.1999999999999998E-2</v>
      </c>
    </row>
    <row r="11" spans="1:15" ht="20" customHeight="1">
      <c r="A11" s="23" t="s">
        <v>46</v>
      </c>
      <c r="B11" s="24">
        <f>_xlfn.XLOOKUP('Ice coffee'!A11, 'Matières premières'!$A$4:$A$21, 'Matières premières'!$H$4:$H$21)</f>
        <v>0</v>
      </c>
      <c r="C11" s="23"/>
      <c r="D11" s="23"/>
      <c r="E11" s="23">
        <f>B11*C11</f>
        <v>0</v>
      </c>
      <c r="F11" s="23" t="s">
        <v>46</v>
      </c>
      <c r="G11" s="24">
        <f>_xlfn.XLOOKUP('Ice coffee'!A11, 'Matières premières'!$A$4:$A$21, 'Matières premières'!$H$4:$H$21)</f>
        <v>0</v>
      </c>
      <c r="H11" s="23"/>
      <c r="I11" s="23"/>
      <c r="J11" s="23">
        <f>G11*H11</f>
        <v>0</v>
      </c>
      <c r="K11" s="23" t="s">
        <v>46</v>
      </c>
      <c r="L11" s="24">
        <f>_xlfn.XLOOKUP('Ice coffee'!A11, 'Matières premières'!$A$4:$A$21, 'Matières premières'!$H$4:$H$21)</f>
        <v>0</v>
      </c>
      <c r="M11" s="23"/>
      <c r="N11" s="23"/>
      <c r="O11" s="23">
        <f>L11*M11</f>
        <v>0</v>
      </c>
    </row>
    <row r="12" spans="1:15" ht="20" customHeight="1">
      <c r="A12" s="13" t="s">
        <v>40</v>
      </c>
      <c r="B12" s="12"/>
      <c r="C12" s="12"/>
      <c r="D12" s="12"/>
      <c r="E12" s="13">
        <f>SUM(E8:E11)</f>
        <v>0.90800000000000003</v>
      </c>
      <c r="F12" s="13" t="s">
        <v>40</v>
      </c>
      <c r="G12" s="12"/>
      <c r="H12" s="12"/>
      <c r="I12" s="12"/>
      <c r="J12" s="13">
        <f>SUM(J8:J11)</f>
        <v>1.028</v>
      </c>
      <c r="K12" s="13" t="s">
        <v>40</v>
      </c>
      <c r="L12" s="12"/>
      <c r="M12" s="12"/>
      <c r="N12" s="12"/>
      <c r="O12" s="13">
        <f>SUM(O8:O11)</f>
        <v>1.1480000000000001</v>
      </c>
    </row>
    <row r="13" spans="1:15" ht="20" customHeight="1">
      <c r="A13" s="14"/>
      <c r="B13" s="14"/>
      <c r="C13" s="14"/>
      <c r="D13" s="14"/>
      <c r="E13" s="14"/>
      <c r="F13" s="14"/>
      <c r="G13" s="14"/>
      <c r="H13" s="14"/>
      <c r="I13" s="14"/>
      <c r="J13" s="14"/>
      <c r="K13" s="14"/>
      <c r="L13" s="14"/>
      <c r="M13" s="14"/>
      <c r="N13" s="14"/>
      <c r="O13" s="14"/>
    </row>
    <row r="14" spans="1:15" ht="20" customHeight="1">
      <c r="A14" s="15" t="s">
        <v>17</v>
      </c>
      <c r="B14" s="11"/>
      <c r="C14" s="11"/>
      <c r="D14" s="11"/>
      <c r="E14" s="15">
        <f>'Matières premières'!$H$50</f>
        <v>2.839999999999999</v>
      </c>
      <c r="F14" s="15" t="s">
        <v>17</v>
      </c>
      <c r="G14" s="11"/>
      <c r="H14" s="11"/>
      <c r="I14" s="11"/>
      <c r="J14" s="15">
        <f>'Matières premières'!$H$50</f>
        <v>2.839999999999999</v>
      </c>
      <c r="K14" s="15" t="s">
        <v>17</v>
      </c>
      <c r="L14" s="11"/>
      <c r="M14" s="11"/>
      <c r="N14" s="11"/>
      <c r="O14" s="15">
        <f>'Matières premières'!$H$50</f>
        <v>2.839999999999999</v>
      </c>
    </row>
    <row r="15" spans="1:15" ht="20" customHeight="1">
      <c r="A15" s="14"/>
      <c r="B15" s="14"/>
      <c r="C15" s="14"/>
      <c r="D15" s="14"/>
      <c r="E15" s="14"/>
      <c r="F15" s="14"/>
      <c r="G15" s="14"/>
      <c r="H15" s="14"/>
      <c r="I15" s="14"/>
      <c r="J15" s="14"/>
      <c r="K15" s="14"/>
      <c r="L15" s="14"/>
      <c r="M15" s="14"/>
      <c r="N15" s="14"/>
      <c r="O15" s="14"/>
    </row>
    <row r="16" spans="1:15" ht="20" customHeight="1">
      <c r="A16" s="11" t="s">
        <v>0</v>
      </c>
      <c r="B16" s="11"/>
      <c r="C16" s="11"/>
      <c r="D16" s="11"/>
      <c r="E16" s="16">
        <f>E12+E14</f>
        <v>3.7479999999999989</v>
      </c>
      <c r="F16" s="11" t="s">
        <v>0</v>
      </c>
      <c r="G16" s="11"/>
      <c r="H16" s="11"/>
      <c r="I16" s="11"/>
      <c r="J16" s="16">
        <f>J12+J14</f>
        <v>3.867999999999999</v>
      </c>
      <c r="K16" s="11" t="s">
        <v>0</v>
      </c>
      <c r="L16" s="11"/>
      <c r="M16" s="11"/>
      <c r="N16" s="11"/>
      <c r="O16" s="16">
        <f>O12+O14</f>
        <v>3.9879999999999991</v>
      </c>
    </row>
    <row r="17" spans="1:15" ht="20" customHeight="1">
      <c r="A17" s="11" t="s">
        <v>1</v>
      </c>
      <c r="B17" s="11"/>
      <c r="C17" s="11"/>
      <c r="D17" s="11"/>
      <c r="E17" s="16">
        <v>4.5</v>
      </c>
      <c r="F17" s="11" t="s">
        <v>1</v>
      </c>
      <c r="G17" s="11"/>
      <c r="H17" s="11"/>
      <c r="I17" s="11"/>
      <c r="J17" s="16">
        <v>5.5</v>
      </c>
      <c r="K17" s="11" t="s">
        <v>1</v>
      </c>
      <c r="L17" s="11"/>
      <c r="M17" s="11"/>
      <c r="N17" s="11"/>
      <c r="O17" s="16">
        <v>6</v>
      </c>
    </row>
    <row r="18" spans="1:15" ht="20" customHeight="1">
      <c r="A18" s="11" t="s">
        <v>2</v>
      </c>
      <c r="B18" s="11"/>
      <c r="C18" s="11"/>
      <c r="D18" s="11"/>
      <c r="E18" s="16">
        <f>E17-E16</f>
        <v>0.75200000000000111</v>
      </c>
      <c r="F18" s="11" t="s">
        <v>2</v>
      </c>
      <c r="G18" s="11"/>
      <c r="H18" s="11"/>
      <c r="I18" s="11"/>
      <c r="J18" s="16">
        <f>J17-J16</f>
        <v>1.632000000000001</v>
      </c>
      <c r="K18" s="11" t="s">
        <v>2</v>
      </c>
      <c r="L18" s="11"/>
      <c r="M18" s="11"/>
      <c r="N18" s="11"/>
      <c r="O18" s="16">
        <f>O17-O16</f>
        <v>2.0120000000000009</v>
      </c>
    </row>
    <row r="19" spans="1:15" ht="20" customHeight="1">
      <c r="A19" s="15" t="s">
        <v>3</v>
      </c>
      <c r="B19" s="11"/>
      <c r="C19" s="11"/>
      <c r="D19" s="11"/>
      <c r="E19" s="31">
        <f>(E18/E16)</f>
        <v>0.20064034151547527</v>
      </c>
      <c r="F19" s="15" t="s">
        <v>3</v>
      </c>
      <c r="G19" s="11"/>
      <c r="H19" s="11"/>
      <c r="I19" s="11"/>
      <c r="J19" s="38">
        <f>(J18/J16)</f>
        <v>0.42192347466390939</v>
      </c>
      <c r="K19" s="15" t="s">
        <v>3</v>
      </c>
      <c r="L19" s="11"/>
      <c r="M19" s="11"/>
      <c r="N19" s="11"/>
      <c r="O19" s="31">
        <f>(O18/O16)</f>
        <v>0.50451354062186593</v>
      </c>
    </row>
    <row r="21" spans="1:15">
      <c r="A21" s="9" t="s">
        <v>78</v>
      </c>
      <c r="E21">
        <f>IF(OR(E19&gt;50%,),"",E16+(0.5*E16))</f>
        <v>5.6219999999999981</v>
      </c>
      <c r="F21" s="9" t="s">
        <v>78</v>
      </c>
      <c r="J21">
        <f>IF(OR(J19&gt;50%,J17&lt;-50%),"",J16+(0.5*J16))</f>
        <v>5.8019999999999987</v>
      </c>
      <c r="O21" t="str">
        <f>IF(OR(O19&gt;50%,O17&lt;-50%),"",O16+(0.5*O16))</f>
        <v/>
      </c>
    </row>
  </sheetData>
  <sheetProtection sheet="1" objects="1" scenarios="1"/>
  <mergeCells count="3">
    <mergeCell ref="A1:E4"/>
    <mergeCell ref="F1:J4"/>
    <mergeCell ref="K1:O4"/>
  </mergeCells>
  <conditionalFormatting sqref="E19">
    <cfRule type="colorScale" priority="1">
      <colorScale>
        <cfvo type="num" val="0.49"/>
        <cfvo type="num" val="0.5"/>
        <color rgb="FFFF7128"/>
        <color rgb="FF00B050"/>
      </colorScale>
    </cfRule>
  </conditionalFormatting>
  <conditionalFormatting sqref="J19">
    <cfRule type="colorScale" priority="2">
      <colorScale>
        <cfvo type="num" val="0.49"/>
        <cfvo type="num" val="0.5"/>
        <color rgb="FFFF7128"/>
        <color rgb="FF00B050"/>
      </colorScale>
    </cfRule>
  </conditionalFormatting>
  <conditionalFormatting sqref="O19">
    <cfRule type="colorScale" priority="4">
      <colorScale>
        <cfvo type="num" val="0.49"/>
        <cfvo type="num" val="0.5"/>
        <color rgb="FFFF7128"/>
        <color rgb="FF00B050"/>
      </colorScale>
    </cfRule>
  </conditionalFormatting>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78DA2-2C64-5444-86F1-593B01D80DAF}">
  <sheetPr codeName="Feuil7"/>
  <dimension ref="A1:E21"/>
  <sheetViews>
    <sheetView view="pageBreakPreview" zoomScaleNormal="100" zoomScaleSheetLayoutView="100" workbookViewId="0">
      <selection activeCell="A21" sqref="A21"/>
    </sheetView>
  </sheetViews>
  <sheetFormatPr baseColWidth="10" defaultRowHeight="15"/>
  <cols>
    <col min="1" max="1" width="18.6640625" customWidth="1"/>
    <col min="5" max="5" width="22.6640625" customWidth="1"/>
  </cols>
  <sheetData>
    <row r="1" spans="1:5" ht="20" customHeight="1">
      <c r="A1" s="104" t="str">
        <f>'synthèse des marges'!A10</f>
        <v>Doppio</v>
      </c>
      <c r="B1" s="104"/>
      <c r="C1" s="104"/>
      <c r="D1" s="104"/>
      <c r="E1" s="104"/>
    </row>
    <row r="2" spans="1:5" ht="20" customHeight="1">
      <c r="A2" s="104"/>
      <c r="B2" s="104"/>
      <c r="C2" s="104"/>
      <c r="D2" s="104"/>
      <c r="E2" s="104"/>
    </row>
    <row r="3" spans="1:5" ht="20" customHeight="1">
      <c r="A3" s="104"/>
      <c r="B3" s="104"/>
      <c r="C3" s="104"/>
      <c r="D3" s="104"/>
      <c r="E3" s="104"/>
    </row>
    <row r="4" spans="1:5" ht="20" customHeight="1">
      <c r="A4" s="104"/>
      <c r="B4" s="104"/>
      <c r="C4" s="104"/>
      <c r="D4" s="104"/>
      <c r="E4" s="104"/>
    </row>
    <row r="5" spans="1:5" ht="20" customHeight="1">
      <c r="A5" s="7"/>
      <c r="B5" s="7"/>
      <c r="C5" s="7"/>
      <c r="D5" s="7"/>
      <c r="E5" s="7"/>
    </row>
    <row r="6" spans="1:5" ht="20" customHeight="1">
      <c r="A6" s="58" t="s">
        <v>91</v>
      </c>
      <c r="B6" s="58" t="s">
        <v>95</v>
      </c>
      <c r="C6" s="58" t="s">
        <v>92</v>
      </c>
      <c r="D6" s="58" t="s">
        <v>93</v>
      </c>
      <c r="E6" s="58" t="s">
        <v>94</v>
      </c>
    </row>
    <row r="7" spans="1:5" ht="20" customHeight="1">
      <c r="A7" s="14"/>
      <c r="B7" s="14"/>
      <c r="C7" s="14"/>
      <c r="D7" s="14"/>
      <c r="E7" s="14"/>
    </row>
    <row r="8" spans="1:5" ht="20" customHeight="1">
      <c r="A8" s="23" t="s">
        <v>58</v>
      </c>
      <c r="B8" s="24">
        <f>_xlfn.XLOOKUP(Doppio!A8, 'Matières premières'!$A$4:$A$21, 'Matières premières'!$H$4:$H$21)</f>
        <v>2.8000000000000001E-2</v>
      </c>
      <c r="C8" s="23">
        <v>16</v>
      </c>
      <c r="D8" s="23" t="s">
        <v>32</v>
      </c>
      <c r="E8" s="23">
        <f>B8*C8</f>
        <v>0.44800000000000001</v>
      </c>
    </row>
    <row r="9" spans="1:5" ht="20" customHeight="1">
      <c r="A9" s="33" t="s">
        <v>6</v>
      </c>
      <c r="B9" s="24">
        <f>_xlfn.XLOOKUP(Doppio!A9, 'Matières premières'!$A$4:$A$21, 'Matières premières'!$H$4:$H$21)</f>
        <v>0.01</v>
      </c>
      <c r="C9" s="23">
        <v>5</v>
      </c>
      <c r="D9" s="23"/>
      <c r="E9" s="23">
        <f>B9*C9</f>
        <v>0.05</v>
      </c>
    </row>
    <row r="10" spans="1:5" ht="20" customHeight="1">
      <c r="A10" s="33" t="s">
        <v>59</v>
      </c>
      <c r="B10" s="24">
        <f>_xlfn.XLOOKUP(Doppio!A10, 'Matières premières'!$A$4:$A$21, 'Matières premières'!$H$4:$H$21)</f>
        <v>0.14649999999999999</v>
      </c>
      <c r="C10" s="23">
        <v>1</v>
      </c>
      <c r="D10" s="23"/>
      <c r="E10" s="23">
        <f>B10*C10</f>
        <v>0.14649999999999999</v>
      </c>
    </row>
    <row r="11" spans="1:5" ht="20" customHeight="1">
      <c r="A11" s="34"/>
      <c r="B11" s="24">
        <f>_xlfn.XLOOKUP(Doppio!A11, 'Matières premières'!$A$4:$A$21, 'Matières premières'!$H$4:$H$21)</f>
        <v>0</v>
      </c>
      <c r="C11" s="34"/>
      <c r="D11" s="34"/>
      <c r="E11" s="34">
        <f>B11*C11</f>
        <v>0</v>
      </c>
    </row>
    <row r="12" spans="1:5" ht="20" customHeight="1">
      <c r="A12" s="15" t="s">
        <v>40</v>
      </c>
      <c r="B12" s="11"/>
      <c r="C12" s="11"/>
      <c r="D12" s="11"/>
      <c r="E12" s="15">
        <f>SUM(E8:E11)</f>
        <v>0.64449999999999996</v>
      </c>
    </row>
    <row r="13" spans="1:5" ht="20" customHeight="1">
      <c r="A13" s="14"/>
      <c r="B13" s="14"/>
      <c r="C13" s="14"/>
      <c r="D13" s="14"/>
      <c r="E13" s="14"/>
    </row>
    <row r="14" spans="1:5" ht="20" customHeight="1">
      <c r="A14" s="15" t="s">
        <v>17</v>
      </c>
      <c r="B14" s="11"/>
      <c r="C14" s="11"/>
      <c r="D14" s="11"/>
      <c r="E14" s="15">
        <f>'Matières premières'!H50</f>
        <v>2.839999999999999</v>
      </c>
    </row>
    <row r="15" spans="1:5" ht="20" customHeight="1">
      <c r="A15" s="14"/>
      <c r="B15" s="14"/>
      <c r="C15" s="14"/>
      <c r="D15" s="14"/>
      <c r="E15" s="14"/>
    </row>
    <row r="16" spans="1:5" ht="20" customHeight="1">
      <c r="A16" s="11" t="s">
        <v>0</v>
      </c>
      <c r="B16" s="11"/>
      <c r="C16" s="11"/>
      <c r="D16" s="11"/>
      <c r="E16" s="16">
        <f>E12+E14</f>
        <v>3.4844999999999988</v>
      </c>
    </row>
    <row r="17" spans="1:5" ht="20" customHeight="1">
      <c r="A17" s="11" t="s">
        <v>1</v>
      </c>
      <c r="B17" s="11"/>
      <c r="C17" s="11"/>
      <c r="D17" s="11"/>
      <c r="E17" s="16">
        <v>4.3</v>
      </c>
    </row>
    <row r="18" spans="1:5" ht="20" customHeight="1">
      <c r="A18" s="11" t="s">
        <v>2</v>
      </c>
      <c r="B18" s="11"/>
      <c r="C18" s="11"/>
      <c r="D18" s="11"/>
      <c r="E18" s="16">
        <f>E17-E16</f>
        <v>0.815500000000001</v>
      </c>
    </row>
    <row r="19" spans="1:5" ht="20" customHeight="1">
      <c r="A19" s="15" t="s">
        <v>3</v>
      </c>
      <c r="B19" s="11"/>
      <c r="C19" s="11"/>
      <c r="D19" s="11"/>
      <c r="E19" s="31">
        <f>(E18/E16)</f>
        <v>0.23403644712297353</v>
      </c>
    </row>
    <row r="21" spans="1:5">
      <c r="A21" s="9" t="s">
        <v>78</v>
      </c>
      <c r="E21">
        <f>IF(OR(E19&gt;50%,E17&lt;-50%),"",E16+(0.5*E16))</f>
        <v>5.2267499999999982</v>
      </c>
    </row>
  </sheetData>
  <sheetProtection sheet="1" objects="1" scenarios="1"/>
  <mergeCells count="1">
    <mergeCell ref="A1:E4"/>
  </mergeCells>
  <conditionalFormatting sqref="E19">
    <cfRule type="colorScale" priority="1">
      <colorScale>
        <cfvo type="num" val="0.49"/>
        <cfvo type="num" val="0.5"/>
        <color rgb="FFFF7128"/>
        <color rgb="FF00B050"/>
      </colorScale>
    </cfRule>
  </conditionalFormatting>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C336-DD30-AB4E-A419-379E48F6ED4C}">
  <sheetPr codeName="Feuil8"/>
  <dimension ref="A1:E21"/>
  <sheetViews>
    <sheetView view="pageBreakPreview" zoomScaleNormal="100" zoomScaleSheetLayoutView="100" workbookViewId="0">
      <selection activeCell="I23" sqref="I23"/>
    </sheetView>
  </sheetViews>
  <sheetFormatPr baseColWidth="10" defaultRowHeight="15"/>
  <cols>
    <col min="1" max="1" width="18.6640625" customWidth="1"/>
    <col min="5" max="5" width="22.6640625" customWidth="1"/>
  </cols>
  <sheetData>
    <row r="1" spans="1:5" ht="20" customHeight="1">
      <c r="A1" s="104" t="str">
        <f>'synthèse des marges'!A11</f>
        <v>Latte Macchiato</v>
      </c>
      <c r="B1" s="104"/>
      <c r="C1" s="104"/>
      <c r="D1" s="104"/>
      <c r="E1" s="104"/>
    </row>
    <row r="2" spans="1:5" ht="20" customHeight="1">
      <c r="A2" s="104"/>
      <c r="B2" s="104"/>
      <c r="C2" s="104"/>
      <c r="D2" s="104"/>
      <c r="E2" s="104"/>
    </row>
    <row r="3" spans="1:5" ht="20" customHeight="1">
      <c r="A3" s="104"/>
      <c r="B3" s="104"/>
      <c r="C3" s="104"/>
      <c r="D3" s="104"/>
      <c r="E3" s="104"/>
    </row>
    <row r="4" spans="1:5" ht="20" customHeight="1">
      <c r="A4" s="104"/>
      <c r="B4" s="104"/>
      <c r="C4" s="104"/>
      <c r="D4" s="104"/>
      <c r="E4" s="104"/>
    </row>
    <row r="5" spans="1:5" ht="20" customHeight="1">
      <c r="A5" s="7"/>
      <c r="B5" s="7"/>
      <c r="C5" s="7"/>
      <c r="D5" s="7"/>
      <c r="E5" s="7"/>
    </row>
    <row r="6" spans="1:5" ht="20" customHeight="1">
      <c r="A6" s="58" t="s">
        <v>91</v>
      </c>
      <c r="B6" s="58" t="s">
        <v>95</v>
      </c>
      <c r="C6" s="58" t="s">
        <v>92</v>
      </c>
      <c r="D6" s="58" t="s">
        <v>93</v>
      </c>
      <c r="E6" s="58" t="s">
        <v>94</v>
      </c>
    </row>
    <row r="7" spans="1:5" ht="20" customHeight="1">
      <c r="A7" s="14"/>
      <c r="B7" s="14"/>
      <c r="C7" s="14"/>
      <c r="D7" s="14"/>
      <c r="E7" s="14"/>
    </row>
    <row r="8" spans="1:5" ht="20" customHeight="1">
      <c r="A8" s="23" t="s">
        <v>60</v>
      </c>
      <c r="B8" s="24">
        <f>_xlfn.XLOOKUP('Latte macchiato'!A8, 'Matières premières'!$A$4:$A$21, 'Matières premières'!$H$4:$H$21)</f>
        <v>3.1E-2</v>
      </c>
      <c r="C8" s="23">
        <v>8</v>
      </c>
      <c r="D8" s="23" t="s">
        <v>32</v>
      </c>
      <c r="E8" s="23">
        <f>B8*C8</f>
        <v>0.248</v>
      </c>
    </row>
    <row r="9" spans="1:5" ht="20" customHeight="1">
      <c r="A9" s="33" t="s">
        <v>6</v>
      </c>
      <c r="B9" s="24">
        <f>_xlfn.XLOOKUP('Latte macchiato'!A9, 'Matières premières'!$A$4:$A$21, 'Matières premières'!$H$4:$H$21)</f>
        <v>0.01</v>
      </c>
      <c r="C9" s="23">
        <v>5</v>
      </c>
      <c r="D9" s="23"/>
      <c r="E9" s="23">
        <f>B9*C9</f>
        <v>0.05</v>
      </c>
    </row>
    <row r="10" spans="1:5" ht="20" customHeight="1">
      <c r="A10" s="33" t="s">
        <v>4</v>
      </c>
      <c r="B10" s="24">
        <f>_xlfn.XLOOKUP('Latte macchiato'!A10, 'Matières premières'!$A$4:$A$21, 'Matières premières'!$H$4:$H$21)</f>
        <v>1.1999999999999999E-3</v>
      </c>
      <c r="C10" s="23">
        <v>200</v>
      </c>
      <c r="D10" s="23"/>
      <c r="E10" s="23">
        <f>B10*C10</f>
        <v>0.24</v>
      </c>
    </row>
    <row r="11" spans="1:5" ht="20" customHeight="1">
      <c r="A11" s="34" t="s">
        <v>8</v>
      </c>
      <c r="B11" s="35">
        <f>_xlfn.XLOOKUP('Latte macchiato'!A11, 'Matières premières'!$A$4:$A$21, 'Matières premières'!$H$4:$H$21)</f>
        <v>5.1999999999999998E-3</v>
      </c>
      <c r="C11" s="34"/>
      <c r="D11" s="34"/>
      <c r="E11" s="34">
        <f>B11*C11</f>
        <v>0</v>
      </c>
    </row>
    <row r="12" spans="1:5" ht="20" customHeight="1">
      <c r="A12" s="15" t="s">
        <v>40</v>
      </c>
      <c r="B12" s="11"/>
      <c r="C12" s="11"/>
      <c r="D12" s="11"/>
      <c r="E12" s="15">
        <f>SUM(E8:E11)</f>
        <v>0.53800000000000003</v>
      </c>
    </row>
    <row r="13" spans="1:5" ht="20" customHeight="1">
      <c r="A13" s="14"/>
      <c r="B13" s="14"/>
      <c r="C13" s="14"/>
      <c r="D13" s="14"/>
      <c r="E13" s="14"/>
    </row>
    <row r="14" spans="1:5" ht="20" customHeight="1">
      <c r="A14" s="15" t="s">
        <v>17</v>
      </c>
      <c r="B14" s="11"/>
      <c r="C14" s="11"/>
      <c r="D14" s="11"/>
      <c r="E14" s="15">
        <f>'Matières premières'!H50</f>
        <v>2.839999999999999</v>
      </c>
    </row>
    <row r="15" spans="1:5" ht="20" customHeight="1">
      <c r="A15" s="14"/>
      <c r="B15" s="14"/>
      <c r="C15" s="14"/>
      <c r="D15" s="14"/>
      <c r="E15" s="14"/>
    </row>
    <row r="16" spans="1:5" ht="20" customHeight="1">
      <c r="A16" s="11" t="s">
        <v>0</v>
      </c>
      <c r="B16" s="11"/>
      <c r="C16" s="11"/>
      <c r="D16" s="11"/>
      <c r="E16" s="16">
        <f>E12+E14</f>
        <v>3.3779999999999992</v>
      </c>
    </row>
    <row r="17" spans="1:5" ht="20" customHeight="1">
      <c r="A17" s="11" t="s">
        <v>1</v>
      </c>
      <c r="B17" s="11"/>
      <c r="C17" s="11"/>
      <c r="D17" s="11"/>
      <c r="E17" s="16">
        <v>5</v>
      </c>
    </row>
    <row r="18" spans="1:5" ht="20" customHeight="1">
      <c r="A18" s="11" t="s">
        <v>2</v>
      </c>
      <c r="B18" s="11"/>
      <c r="C18" s="11"/>
      <c r="D18" s="11"/>
      <c r="E18" s="16">
        <f>E17-E16</f>
        <v>1.6220000000000008</v>
      </c>
    </row>
    <row r="19" spans="1:5" ht="20" customHeight="1">
      <c r="A19" s="15" t="s">
        <v>3</v>
      </c>
      <c r="B19" s="11"/>
      <c r="C19" s="11"/>
      <c r="D19" s="11"/>
      <c r="E19" s="31">
        <f>(E18/E16)</f>
        <v>0.48016577856719989</v>
      </c>
    </row>
    <row r="21" spans="1:5">
      <c r="A21" s="9" t="s">
        <v>78</v>
      </c>
      <c r="E21">
        <f>IF(OR(E19&gt;50%,E17&lt;-50%),"",E16+(0.5*E16))</f>
        <v>5.0669999999999984</v>
      </c>
    </row>
  </sheetData>
  <mergeCells count="1">
    <mergeCell ref="A1:E4"/>
  </mergeCells>
  <conditionalFormatting sqref="E19">
    <cfRule type="colorScale" priority="1">
      <colorScale>
        <cfvo type="num" val="0.49"/>
        <cfvo type="num" val="0.5"/>
        <color rgb="FFFF7128"/>
        <color rgb="FF00B050"/>
      </colorScale>
    </cfRule>
  </conditionalFormatting>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1ED6-66D3-764F-A803-EF6CBE13E7C0}">
  <sheetPr codeName="Feuil9"/>
  <dimension ref="A1:O21"/>
  <sheetViews>
    <sheetView view="pageBreakPreview" zoomScaleNormal="100" zoomScaleSheetLayoutView="100" workbookViewId="0">
      <selection sqref="A1:O22"/>
    </sheetView>
  </sheetViews>
  <sheetFormatPr baseColWidth="10" defaultRowHeight="15"/>
  <cols>
    <col min="1" max="1" width="18.6640625" customWidth="1"/>
    <col min="5" max="5" width="22.6640625" customWidth="1"/>
    <col min="6" max="6" width="18.6640625" customWidth="1"/>
    <col min="10" max="10" width="22.6640625" customWidth="1"/>
    <col min="11" max="11" width="18.33203125" customWidth="1"/>
    <col min="15" max="15" width="21.6640625" customWidth="1"/>
  </cols>
  <sheetData>
    <row r="1" spans="1:15" ht="20" customHeight="1">
      <c r="A1" s="104" t="str">
        <f>'synthèse des marges'!$A$12</f>
        <v>Matcha latte</v>
      </c>
      <c r="B1" s="104"/>
      <c r="C1" s="104"/>
      <c r="D1" s="104"/>
      <c r="E1" s="104"/>
      <c r="F1" s="104" t="str">
        <f>'synthèse des marges'!$A$12</f>
        <v>Matcha latte</v>
      </c>
      <c r="G1" s="104"/>
      <c r="H1" s="104"/>
      <c r="I1" s="104"/>
      <c r="J1" s="104"/>
      <c r="K1" s="104" t="str">
        <f>'synthèse des marges'!$A$12</f>
        <v>Matcha latte</v>
      </c>
      <c r="L1" s="104"/>
      <c r="M1" s="104"/>
      <c r="N1" s="104"/>
      <c r="O1" s="104"/>
    </row>
    <row r="2" spans="1:15" ht="20" customHeight="1">
      <c r="A2" s="104"/>
      <c r="B2" s="104"/>
      <c r="C2" s="104"/>
      <c r="D2" s="104"/>
      <c r="E2" s="104"/>
      <c r="F2" s="104"/>
      <c r="G2" s="104"/>
      <c r="H2" s="104"/>
      <c r="I2" s="104"/>
      <c r="J2" s="104"/>
      <c r="K2" s="104"/>
      <c r="L2" s="104"/>
      <c r="M2" s="104"/>
      <c r="N2" s="104"/>
      <c r="O2" s="104"/>
    </row>
    <row r="3" spans="1:15" ht="20" customHeight="1">
      <c r="A3" s="104"/>
      <c r="B3" s="104"/>
      <c r="C3" s="104"/>
      <c r="D3" s="104"/>
      <c r="E3" s="104"/>
      <c r="F3" s="104"/>
      <c r="G3" s="104"/>
      <c r="H3" s="104"/>
      <c r="I3" s="104"/>
      <c r="J3" s="104"/>
      <c r="K3" s="104"/>
      <c r="L3" s="104"/>
      <c r="M3" s="104"/>
      <c r="N3" s="104"/>
      <c r="O3" s="104"/>
    </row>
    <row r="4" spans="1:15" ht="20" customHeight="1">
      <c r="A4" s="104"/>
      <c r="B4" s="104"/>
      <c r="C4" s="104"/>
      <c r="D4" s="104"/>
      <c r="E4" s="104"/>
      <c r="F4" s="104"/>
      <c r="G4" s="104"/>
      <c r="H4" s="104"/>
      <c r="I4" s="104"/>
      <c r="J4" s="104"/>
      <c r="K4" s="104"/>
      <c r="L4" s="104"/>
      <c r="M4" s="104"/>
      <c r="N4" s="104"/>
      <c r="O4" s="104"/>
    </row>
    <row r="5" spans="1:15" ht="20" customHeight="1">
      <c r="A5" s="7"/>
      <c r="B5" s="7"/>
      <c r="C5" s="7"/>
      <c r="D5" s="7"/>
      <c r="E5" s="7"/>
      <c r="F5" s="7"/>
      <c r="G5" s="7"/>
      <c r="H5" s="7"/>
      <c r="I5" s="7"/>
      <c r="J5" s="7"/>
      <c r="K5" s="7"/>
      <c r="L5" s="7"/>
      <c r="M5" s="7"/>
      <c r="N5" s="7"/>
      <c r="O5" s="7"/>
    </row>
    <row r="6" spans="1:15" ht="20" customHeight="1">
      <c r="A6" s="58" t="s">
        <v>91</v>
      </c>
      <c r="B6" s="58" t="s">
        <v>95</v>
      </c>
      <c r="C6" s="58" t="s">
        <v>92</v>
      </c>
      <c r="D6" s="58" t="s">
        <v>93</v>
      </c>
      <c r="E6" s="58" t="s">
        <v>94</v>
      </c>
      <c r="F6" s="58" t="s">
        <v>91</v>
      </c>
      <c r="G6" s="58" t="s">
        <v>95</v>
      </c>
      <c r="H6" s="58" t="s">
        <v>92</v>
      </c>
      <c r="I6" s="58" t="s">
        <v>93</v>
      </c>
      <c r="J6" s="58" t="s">
        <v>94</v>
      </c>
      <c r="K6" s="58" t="s">
        <v>91</v>
      </c>
      <c r="L6" s="58" t="s">
        <v>95</v>
      </c>
      <c r="M6" s="58" t="s">
        <v>92</v>
      </c>
      <c r="N6" s="58" t="s">
        <v>93</v>
      </c>
      <c r="O6" s="58" t="s">
        <v>94</v>
      </c>
    </row>
    <row r="7" spans="1:15" ht="20" customHeight="1">
      <c r="A7" s="14"/>
      <c r="B7" s="14"/>
      <c r="C7" s="14"/>
      <c r="D7" s="14"/>
      <c r="E7" s="14"/>
      <c r="F7" s="14"/>
      <c r="G7" s="14"/>
      <c r="H7" s="14"/>
      <c r="I7" s="14"/>
      <c r="J7" s="14"/>
      <c r="K7" s="14"/>
      <c r="L7" s="14"/>
      <c r="M7" s="14"/>
      <c r="N7" s="14"/>
      <c r="O7" s="14"/>
    </row>
    <row r="8" spans="1:15" ht="20" customHeight="1">
      <c r="A8" s="23" t="s">
        <v>62</v>
      </c>
      <c r="B8" s="24">
        <f>_xlfn.XLOOKUP('Matcha latte'!A8, 'Matières premières'!$A$4:$A$21, 'Matières premières'!$H$4:$H$21)</f>
        <v>0.39</v>
      </c>
      <c r="C8" s="23">
        <v>2</v>
      </c>
      <c r="D8" s="23" t="s">
        <v>32</v>
      </c>
      <c r="E8" s="23">
        <f>B8*C8</f>
        <v>0.78</v>
      </c>
      <c r="F8" s="23" t="s">
        <v>62</v>
      </c>
      <c r="G8" s="24">
        <f>_xlfn.XLOOKUP('Matcha latte'!A8, 'Matières premières'!$A$4:$A$21, 'Matières premières'!$H$4:$H$21)</f>
        <v>0.39</v>
      </c>
      <c r="H8" s="23">
        <v>2</v>
      </c>
      <c r="I8" s="23" t="s">
        <v>32</v>
      </c>
      <c r="J8" s="23">
        <f>G8*H8</f>
        <v>0.78</v>
      </c>
      <c r="K8" s="23" t="s">
        <v>62</v>
      </c>
      <c r="L8" s="24">
        <f>_xlfn.XLOOKUP('Matcha latte'!A8, 'Matières premières'!$A$4:$A$21, 'Matières premières'!$H$4:$H$21)</f>
        <v>0.39</v>
      </c>
      <c r="M8" s="23">
        <v>2</v>
      </c>
      <c r="N8" s="23" t="s">
        <v>32</v>
      </c>
      <c r="O8" s="23">
        <f>L8*M8</f>
        <v>0.78</v>
      </c>
    </row>
    <row r="9" spans="1:15" ht="20" customHeight="1">
      <c r="A9" s="33" t="s">
        <v>6</v>
      </c>
      <c r="B9" s="24">
        <f>_xlfn.XLOOKUP('Matcha latte'!$A$9, 'Matières premières'!$A$5:$A$22, 'Matières premières'!$H$5:$H$22)</f>
        <v>0.01</v>
      </c>
      <c r="C9" s="23">
        <v>0</v>
      </c>
      <c r="D9" s="23"/>
      <c r="E9" s="23">
        <f>B9*C9</f>
        <v>0</v>
      </c>
      <c r="F9" s="33" t="s">
        <v>6</v>
      </c>
      <c r="G9" s="24">
        <f>_xlfn.XLOOKUP('Matcha latte'!A9, 'Matières premières'!$A$4:$A$21, 'Matières premières'!$H$4:$H$21)</f>
        <v>0.01</v>
      </c>
      <c r="H9" s="23">
        <v>0</v>
      </c>
      <c r="I9" s="23"/>
      <c r="J9" s="23">
        <f>G9*H9</f>
        <v>0</v>
      </c>
      <c r="K9" s="33" t="s">
        <v>6</v>
      </c>
      <c r="L9" s="24">
        <f>_xlfn.XLOOKUP('Matcha latte'!A9, 'Matières premières'!$A$4:$A$21, 'Matières premières'!$H$4:$H$21)</f>
        <v>0.01</v>
      </c>
      <c r="M9" s="23">
        <v>0</v>
      </c>
      <c r="N9" s="23"/>
      <c r="O9" s="23">
        <f>L9*M9</f>
        <v>0</v>
      </c>
    </row>
    <row r="10" spans="1:15" ht="20" customHeight="1">
      <c r="A10" s="33" t="s">
        <v>4</v>
      </c>
      <c r="B10" s="24">
        <f>_xlfn.XLOOKUP('Matcha latte'!$A$10, 'Matières premières'!$A$6:$A$23, 'Matières premières'!$H$6:$H$23)</f>
        <v>1.1999999999999999E-3</v>
      </c>
      <c r="C10" s="23">
        <v>300</v>
      </c>
      <c r="D10" s="23"/>
      <c r="E10" s="23">
        <f>B10*C10</f>
        <v>0.36</v>
      </c>
      <c r="F10" s="33" t="s">
        <v>4</v>
      </c>
      <c r="G10" s="24">
        <f>_xlfn.XLOOKUP('Matcha latte'!A10, 'Matières premières'!$A$4:$A$21, 'Matières premières'!$H$4:$H$21)</f>
        <v>1.1999999999999999E-3</v>
      </c>
      <c r="H10" s="23">
        <v>300</v>
      </c>
      <c r="I10" s="23"/>
      <c r="J10" s="23">
        <f>G10*H10</f>
        <v>0.36</v>
      </c>
      <c r="K10" s="33" t="s">
        <v>4</v>
      </c>
      <c r="L10" s="24">
        <f>_xlfn.XLOOKUP('Matcha latte'!A10, 'Matières premières'!$A$4:$A$21, 'Matières premières'!$H$4:$H$21)</f>
        <v>1.1999999999999999E-3</v>
      </c>
      <c r="M10" s="23">
        <v>300</v>
      </c>
      <c r="N10" s="23"/>
      <c r="O10" s="23">
        <f>L10*M10</f>
        <v>0.36</v>
      </c>
    </row>
    <row r="11" spans="1:15" ht="20" customHeight="1">
      <c r="A11" s="34" t="s">
        <v>8</v>
      </c>
      <c r="B11" s="35">
        <f>_xlfn.XLOOKUP('Matcha latte'!$A$11, 'Matières premières'!$A$7:$A$24, 'Matières premières'!$H$7:$H$24)</f>
        <v>5.1999999999999998E-3</v>
      </c>
      <c r="C11" s="34"/>
      <c r="D11" s="34"/>
      <c r="E11" s="34">
        <f>B11*C11</f>
        <v>0</v>
      </c>
      <c r="F11" s="34" t="s">
        <v>8</v>
      </c>
      <c r="G11" s="35">
        <f>_xlfn.XLOOKUP('Matcha latte'!A11, 'Matières premières'!$A$4:$A$21, 'Matières premières'!$H$4:$H$21)</f>
        <v>5.1999999999999998E-3</v>
      </c>
      <c r="H11" s="34"/>
      <c r="I11" s="34"/>
      <c r="J11" s="34">
        <f>G11*H11</f>
        <v>0</v>
      </c>
      <c r="K11" s="34" t="s">
        <v>8</v>
      </c>
      <c r="L11" s="35">
        <f>_xlfn.XLOOKUP('Matcha latte'!A11, 'Matières premières'!$A$4:$A$21, 'Matières premières'!$H$4:$H$21)</f>
        <v>5.1999999999999998E-3</v>
      </c>
      <c r="M11" s="34"/>
      <c r="N11" s="34"/>
      <c r="O11" s="34">
        <f>L11*M11</f>
        <v>0</v>
      </c>
    </row>
    <row r="12" spans="1:15" ht="20" customHeight="1">
      <c r="A12" s="15" t="s">
        <v>40</v>
      </c>
      <c r="B12" s="11"/>
      <c r="C12" s="11"/>
      <c r="D12" s="11"/>
      <c r="E12" s="15">
        <f>SUM(E8:E11)</f>
        <v>1.1400000000000001</v>
      </c>
      <c r="F12" s="15" t="s">
        <v>40</v>
      </c>
      <c r="G12" s="11"/>
      <c r="H12" s="11"/>
      <c r="I12" s="11"/>
      <c r="J12" s="15">
        <f>SUM(J8:J11)</f>
        <v>1.1400000000000001</v>
      </c>
      <c r="K12" s="15" t="s">
        <v>40</v>
      </c>
      <c r="L12" s="11"/>
      <c r="M12" s="11"/>
      <c r="N12" s="11"/>
      <c r="O12" s="15">
        <f>SUM(O8:O11)</f>
        <v>1.1400000000000001</v>
      </c>
    </row>
    <row r="13" spans="1:15" ht="20" customHeight="1">
      <c r="A13" s="14"/>
      <c r="B13" s="14"/>
      <c r="C13" s="14"/>
      <c r="D13" s="14"/>
      <c r="E13" s="14"/>
      <c r="F13" s="14"/>
      <c r="G13" s="14"/>
      <c r="H13" s="14"/>
      <c r="I13" s="14"/>
      <c r="J13" s="14"/>
      <c r="K13" s="14"/>
      <c r="L13" s="14"/>
      <c r="M13" s="14"/>
      <c r="N13" s="14"/>
      <c r="O13" s="14"/>
    </row>
    <row r="14" spans="1:15" ht="20" customHeight="1">
      <c r="A14" s="15" t="s">
        <v>17</v>
      </c>
      <c r="B14" s="11"/>
      <c r="C14" s="11"/>
      <c r="D14" s="11"/>
      <c r="E14" s="15">
        <f>'Matières premières'!H50</f>
        <v>2.839999999999999</v>
      </c>
      <c r="F14" s="15" t="s">
        <v>17</v>
      </c>
      <c r="G14" s="11"/>
      <c r="H14" s="11"/>
      <c r="I14" s="11"/>
      <c r="J14" s="15">
        <f>'Matières premières'!H50</f>
        <v>2.839999999999999</v>
      </c>
      <c r="K14" s="15" t="s">
        <v>17</v>
      </c>
      <c r="L14" s="11"/>
      <c r="M14" s="11"/>
      <c r="N14" s="11"/>
      <c r="O14" s="15">
        <f>'Matières premières'!H50</f>
        <v>2.839999999999999</v>
      </c>
    </row>
    <row r="15" spans="1:15" ht="20" customHeight="1">
      <c r="A15" s="14"/>
      <c r="B15" s="14"/>
      <c r="C15" s="14"/>
      <c r="D15" s="14"/>
      <c r="E15" s="14"/>
      <c r="F15" s="14"/>
      <c r="G15" s="14"/>
      <c r="H15" s="14"/>
      <c r="I15" s="14"/>
      <c r="J15" s="14"/>
      <c r="K15" s="14"/>
      <c r="L15" s="14"/>
      <c r="M15" s="14"/>
      <c r="N15" s="14"/>
      <c r="O15" s="14"/>
    </row>
    <row r="16" spans="1:15" ht="20" customHeight="1">
      <c r="A16" s="11" t="s">
        <v>0</v>
      </c>
      <c r="B16" s="11"/>
      <c r="C16" s="11"/>
      <c r="D16" s="11"/>
      <c r="E16" s="16">
        <f>E12+E14</f>
        <v>3.9799999999999991</v>
      </c>
      <c r="F16" s="11" t="s">
        <v>0</v>
      </c>
      <c r="G16" s="11"/>
      <c r="H16" s="11"/>
      <c r="I16" s="11"/>
      <c r="J16" s="16">
        <f>J12+J14</f>
        <v>3.9799999999999991</v>
      </c>
      <c r="K16" s="11" t="s">
        <v>0</v>
      </c>
      <c r="L16" s="11"/>
      <c r="M16" s="11"/>
      <c r="N16" s="11"/>
      <c r="O16" s="16">
        <f>O12+O14</f>
        <v>3.9799999999999991</v>
      </c>
    </row>
    <row r="17" spans="1:15" ht="20" customHeight="1">
      <c r="A17" s="11" t="s">
        <v>1</v>
      </c>
      <c r="B17" s="11"/>
      <c r="C17" s="11"/>
      <c r="D17" s="11"/>
      <c r="E17" s="16">
        <v>5</v>
      </c>
      <c r="F17" s="11" t="s">
        <v>1</v>
      </c>
      <c r="G17" s="11"/>
      <c r="H17" s="11"/>
      <c r="I17" s="11"/>
      <c r="J17" s="16">
        <v>6</v>
      </c>
      <c r="K17" s="11" t="s">
        <v>1</v>
      </c>
      <c r="L17" s="11"/>
      <c r="M17" s="11"/>
      <c r="N17" s="11"/>
      <c r="O17" s="16">
        <v>6.5</v>
      </c>
    </row>
    <row r="18" spans="1:15" ht="20" customHeight="1">
      <c r="A18" s="11" t="s">
        <v>2</v>
      </c>
      <c r="B18" s="11"/>
      <c r="C18" s="11"/>
      <c r="D18" s="11"/>
      <c r="E18" s="16">
        <f>E17-E16</f>
        <v>1.0200000000000009</v>
      </c>
      <c r="F18" s="11" t="s">
        <v>2</v>
      </c>
      <c r="G18" s="11"/>
      <c r="H18" s="11"/>
      <c r="I18" s="11"/>
      <c r="J18" s="16">
        <f>J17-J16</f>
        <v>2.0200000000000009</v>
      </c>
      <c r="K18" s="11" t="s">
        <v>2</v>
      </c>
      <c r="L18" s="11"/>
      <c r="M18" s="11"/>
      <c r="N18" s="11"/>
      <c r="O18" s="16">
        <f>O17-O16</f>
        <v>2.5200000000000009</v>
      </c>
    </row>
    <row r="19" spans="1:15" ht="20" customHeight="1">
      <c r="A19" s="15" t="s">
        <v>3</v>
      </c>
      <c r="B19" s="11"/>
      <c r="C19" s="11"/>
      <c r="D19" s="11"/>
      <c r="E19" s="31">
        <f>(E18/E16)</f>
        <v>0.25628140703517616</v>
      </c>
      <c r="F19" s="15" t="s">
        <v>3</v>
      </c>
      <c r="G19" s="11"/>
      <c r="H19" s="11"/>
      <c r="I19" s="11"/>
      <c r="J19" s="31">
        <f>(J18/J16)</f>
        <v>0.50753768844221137</v>
      </c>
      <c r="K19" s="15" t="s">
        <v>3</v>
      </c>
      <c r="L19" s="11"/>
      <c r="M19" s="11"/>
      <c r="N19" s="11"/>
      <c r="O19" s="31">
        <f>(O18/O16)</f>
        <v>0.63316582914572905</v>
      </c>
    </row>
    <row r="21" spans="1:15">
      <c r="A21" s="9" t="s">
        <v>78</v>
      </c>
      <c r="E21">
        <f>IF(OR(E19&gt;50%,E17&lt;-50%),"",E16+(0.5*E16))</f>
        <v>5.9699999999999989</v>
      </c>
      <c r="J21" t="str">
        <f>IF(OR(J19&gt;50%,J17&lt;-50%),"",J16+(0.5*J16))</f>
        <v/>
      </c>
      <c r="O21" t="str">
        <f>IF(OR(O19&gt;50%,O17&lt;-50%),"",O16+(0.5*O16))</f>
        <v/>
      </c>
    </row>
  </sheetData>
  <sheetProtection sheet="1" objects="1" scenarios="1"/>
  <mergeCells count="3">
    <mergeCell ref="A1:E4"/>
    <mergeCell ref="F1:J4"/>
    <mergeCell ref="K1:O4"/>
  </mergeCells>
  <conditionalFormatting sqref="E19">
    <cfRule type="colorScale" priority="3">
      <colorScale>
        <cfvo type="num" val="0.49"/>
        <cfvo type="num" val="0.5"/>
        <color rgb="FFFF7128"/>
        <color rgb="FF00B050"/>
      </colorScale>
    </cfRule>
  </conditionalFormatting>
  <conditionalFormatting sqref="J19">
    <cfRule type="colorScale" priority="2">
      <colorScale>
        <cfvo type="num" val="0.49"/>
        <cfvo type="num" val="0.5"/>
        <color rgb="FFFF7128"/>
        <color rgb="FF00B050"/>
      </colorScale>
    </cfRule>
  </conditionalFormatting>
  <conditionalFormatting sqref="O19">
    <cfRule type="colorScale" priority="1">
      <colorScale>
        <cfvo type="num" val="0.49"/>
        <cfvo type="num" val="0.5"/>
        <color rgb="FFFF7128"/>
        <color rgb="FF00B050"/>
      </colorScale>
    </cfRule>
  </conditionalFormatting>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08AA3-242F-584E-A348-CD3ED4D70F40}">
  <sheetPr codeName="Feuil10"/>
  <dimension ref="A1:O20"/>
  <sheetViews>
    <sheetView view="pageBreakPreview" zoomScaleNormal="80" zoomScaleSheetLayoutView="100" workbookViewId="0">
      <selection sqref="A1:O21"/>
    </sheetView>
  </sheetViews>
  <sheetFormatPr baseColWidth="10" defaultRowHeight="15"/>
  <cols>
    <col min="1" max="1" width="18.6640625" customWidth="1"/>
    <col min="5" max="5" width="22.6640625" customWidth="1"/>
    <col min="6" max="6" width="18.6640625" customWidth="1"/>
    <col min="10" max="10" width="22.6640625" customWidth="1"/>
    <col min="11" max="11" width="18.6640625" customWidth="1"/>
    <col min="15" max="15" width="21.6640625" customWidth="1"/>
  </cols>
  <sheetData>
    <row r="1" spans="1:15" ht="20" customHeight="1">
      <c r="A1" s="104" t="str">
        <f>'synthèse des marges'!A15</f>
        <v>Matcha</v>
      </c>
      <c r="B1" s="104"/>
      <c r="C1" s="104"/>
      <c r="D1" s="104"/>
      <c r="E1" s="104"/>
      <c r="F1" s="104" t="str">
        <f>'synthèse des marges'!A15</f>
        <v>Matcha</v>
      </c>
      <c r="G1" s="104"/>
      <c r="H1" s="104"/>
      <c r="I1" s="104"/>
      <c r="J1" s="104"/>
      <c r="K1" s="104" t="str">
        <f>'synthèse des marges'!A15</f>
        <v>Matcha</v>
      </c>
      <c r="L1" s="104"/>
      <c r="M1" s="104"/>
      <c r="N1" s="104"/>
      <c r="O1" s="104"/>
    </row>
    <row r="2" spans="1:15" ht="20" customHeight="1">
      <c r="A2" s="104"/>
      <c r="B2" s="104"/>
      <c r="C2" s="104"/>
      <c r="D2" s="104"/>
      <c r="E2" s="104"/>
      <c r="F2" s="104"/>
      <c r="G2" s="104"/>
      <c r="H2" s="104"/>
      <c r="I2" s="104"/>
      <c r="J2" s="104"/>
      <c r="K2" s="104"/>
      <c r="L2" s="104"/>
      <c r="M2" s="104"/>
      <c r="N2" s="104"/>
      <c r="O2" s="104"/>
    </row>
    <row r="3" spans="1:15" ht="20" customHeight="1">
      <c r="A3" s="104"/>
      <c r="B3" s="104"/>
      <c r="C3" s="104"/>
      <c r="D3" s="104"/>
      <c r="E3" s="104"/>
      <c r="F3" s="104"/>
      <c r="G3" s="104"/>
      <c r="H3" s="104"/>
      <c r="I3" s="104"/>
      <c r="J3" s="104"/>
      <c r="K3" s="104"/>
      <c r="L3" s="104"/>
      <c r="M3" s="104"/>
      <c r="N3" s="104"/>
      <c r="O3" s="104"/>
    </row>
    <row r="4" spans="1:15" ht="20" customHeight="1">
      <c r="A4" s="104"/>
      <c r="B4" s="104"/>
      <c r="C4" s="104"/>
      <c r="D4" s="104"/>
      <c r="E4" s="104"/>
      <c r="F4" s="104"/>
      <c r="G4" s="104"/>
      <c r="H4" s="104"/>
      <c r="I4" s="104"/>
      <c r="J4" s="104"/>
      <c r="K4" s="104"/>
      <c r="L4" s="104"/>
      <c r="M4" s="104"/>
      <c r="N4" s="104"/>
      <c r="O4" s="104"/>
    </row>
    <row r="5" spans="1:15" ht="20" customHeight="1">
      <c r="A5" s="59"/>
      <c r="B5" s="7"/>
      <c r="C5" s="7"/>
      <c r="D5" s="7"/>
      <c r="E5" s="7" t="s">
        <v>72</v>
      </c>
      <c r="F5" s="7"/>
      <c r="G5" s="7"/>
      <c r="H5" s="7"/>
      <c r="I5" s="7"/>
      <c r="J5" s="7" t="s">
        <v>73</v>
      </c>
      <c r="K5" s="7"/>
      <c r="L5" s="7"/>
      <c r="M5" s="7"/>
      <c r="N5" s="7"/>
      <c r="O5" s="7" t="s">
        <v>74</v>
      </c>
    </row>
    <row r="6" spans="1:15" ht="20" customHeight="1">
      <c r="A6" s="58" t="s">
        <v>91</v>
      </c>
      <c r="B6" s="58" t="s">
        <v>95</v>
      </c>
      <c r="C6" s="58" t="s">
        <v>92</v>
      </c>
      <c r="D6" s="58" t="s">
        <v>93</v>
      </c>
      <c r="E6" s="58" t="s">
        <v>94</v>
      </c>
      <c r="F6" s="58" t="s">
        <v>91</v>
      </c>
      <c r="G6" s="58" t="s">
        <v>95</v>
      </c>
      <c r="H6" s="58" t="s">
        <v>92</v>
      </c>
      <c r="I6" s="58" t="s">
        <v>93</v>
      </c>
      <c r="J6" s="58" t="s">
        <v>94</v>
      </c>
      <c r="K6" s="58" t="s">
        <v>91</v>
      </c>
      <c r="L6" s="58" t="s">
        <v>95</v>
      </c>
      <c r="M6" s="58" t="s">
        <v>92</v>
      </c>
      <c r="N6" s="58" t="s">
        <v>93</v>
      </c>
      <c r="O6" s="58" t="s">
        <v>94</v>
      </c>
    </row>
    <row r="7" spans="1:15" ht="20" customHeight="1">
      <c r="A7" s="14"/>
      <c r="B7" s="14"/>
      <c r="C7" s="14"/>
      <c r="D7" s="14"/>
      <c r="E7" s="14"/>
      <c r="F7" s="14"/>
      <c r="G7" s="14"/>
      <c r="H7" s="14"/>
      <c r="I7" s="14"/>
      <c r="J7" s="14"/>
      <c r="K7" s="14"/>
      <c r="L7" s="14"/>
      <c r="M7" s="14"/>
      <c r="N7" s="14"/>
      <c r="O7" s="14"/>
    </row>
    <row r="8" spans="1:15" ht="20" customHeight="1">
      <c r="A8" s="23" t="s">
        <v>62</v>
      </c>
      <c r="B8" s="24">
        <f>_xlfn.XLOOKUP(Matcha!A8, 'Matières premières'!$A$4:$A$21, 'Matières premières'!$H$4:$H$21)</f>
        <v>0.39</v>
      </c>
      <c r="C8" s="23">
        <v>2</v>
      </c>
      <c r="D8" s="23" t="s">
        <v>32</v>
      </c>
      <c r="E8" s="8">
        <f>B8*C8</f>
        <v>0.78</v>
      </c>
      <c r="F8" s="23" t="s">
        <v>62</v>
      </c>
      <c r="G8" s="24">
        <f>_xlfn.XLOOKUP(Matcha!F8, 'Matières premières'!$A$4:$A$21, 'Matières premières'!$H$4:$H$21)</f>
        <v>0.39</v>
      </c>
      <c r="H8" s="23">
        <v>2.2999999999999998</v>
      </c>
      <c r="I8" s="23" t="s">
        <v>32</v>
      </c>
      <c r="J8" s="8">
        <f>G8*H8</f>
        <v>0.89699999999999991</v>
      </c>
      <c r="K8" s="23" t="s">
        <v>62</v>
      </c>
      <c r="L8" s="24">
        <f>_xlfn.XLOOKUP(Matcha!K8, 'Matières premières'!$A$4:$A$21, 'Matières premières'!$H$4:$H$21)</f>
        <v>0.39</v>
      </c>
      <c r="M8" s="23">
        <v>2.5</v>
      </c>
      <c r="N8" s="23" t="s">
        <v>32</v>
      </c>
      <c r="O8" s="8">
        <f>L8*M8</f>
        <v>0.97500000000000009</v>
      </c>
    </row>
    <row r="9" spans="1:15" ht="20" customHeight="1">
      <c r="A9" s="33" t="s">
        <v>64</v>
      </c>
      <c r="B9" s="24">
        <f>_xlfn.XLOOKUP(Matcha!A9, 'Matières premières'!$A$4:$A$21, 'Matières premières'!$H$4:$H$21)</f>
        <v>0</v>
      </c>
      <c r="C9" s="23">
        <v>0</v>
      </c>
      <c r="D9" s="23"/>
      <c r="E9" s="8">
        <f>B9*C9</f>
        <v>0</v>
      </c>
      <c r="F9" s="33" t="s">
        <v>64</v>
      </c>
      <c r="G9" s="24">
        <f>_xlfn.XLOOKUP(Matcha!F9, 'Matières premières'!$A$4:$A$21, 'Matières premières'!$H$4:$H$21)</f>
        <v>0</v>
      </c>
      <c r="H9" s="23">
        <v>0</v>
      </c>
      <c r="I9" s="23"/>
      <c r="J9" s="8">
        <f>G9*H9</f>
        <v>0</v>
      </c>
      <c r="K9" s="33" t="s">
        <v>64</v>
      </c>
      <c r="L9" s="24">
        <f>_xlfn.XLOOKUP(Matcha!K9, 'Matières premières'!$A$4:$A$21, 'Matières premières'!$H$4:$H$21)</f>
        <v>0</v>
      </c>
      <c r="M9" s="23">
        <v>0</v>
      </c>
      <c r="N9" s="23"/>
      <c r="O9" s="8">
        <f>L9*M9</f>
        <v>0</v>
      </c>
    </row>
    <row r="10" spans="1:15" ht="20" customHeight="1">
      <c r="A10" s="34" t="s">
        <v>8</v>
      </c>
      <c r="B10" s="35">
        <f>_xlfn.XLOOKUP(Matcha!A10, 'Matières premières'!$A$4:$A$21, 'Matières premières'!$H$4:$H$21)</f>
        <v>5.1999999999999998E-3</v>
      </c>
      <c r="C10" s="34"/>
      <c r="D10" s="34"/>
      <c r="E10" s="36">
        <f>B10*C10</f>
        <v>0</v>
      </c>
      <c r="F10" s="34" t="s">
        <v>8</v>
      </c>
      <c r="G10" s="35">
        <f>_xlfn.XLOOKUP(Matcha!F10, 'Matières premières'!$A$4:$A$21, 'Matières premières'!$H$4:$H$21)</f>
        <v>5.1999999999999998E-3</v>
      </c>
      <c r="H10" s="34"/>
      <c r="I10" s="34"/>
      <c r="J10" s="36">
        <f>G10*H10</f>
        <v>0</v>
      </c>
      <c r="K10" s="34" t="s">
        <v>8</v>
      </c>
      <c r="L10" s="35">
        <f>_xlfn.XLOOKUP(Matcha!K10, 'Matières premières'!$A$4:$A$21, 'Matières premières'!$H$4:$H$21)</f>
        <v>5.1999999999999998E-3</v>
      </c>
      <c r="M10" s="34"/>
      <c r="N10" s="34"/>
      <c r="O10" s="36">
        <f>L10*M10</f>
        <v>0</v>
      </c>
    </row>
    <row r="11" spans="1:15" ht="20" customHeight="1">
      <c r="A11" s="15" t="s">
        <v>40</v>
      </c>
      <c r="B11" s="11"/>
      <c r="C11" s="11"/>
      <c r="D11" s="11"/>
      <c r="E11" s="15">
        <f>SUM(E8:E10)</f>
        <v>0.78</v>
      </c>
      <c r="F11" s="15" t="s">
        <v>40</v>
      </c>
      <c r="G11" s="11"/>
      <c r="H11" s="11"/>
      <c r="I11" s="11"/>
      <c r="J11" s="15">
        <f>SUM(J8:J10)</f>
        <v>0.89699999999999991</v>
      </c>
      <c r="K11" s="15" t="s">
        <v>40</v>
      </c>
      <c r="L11" s="11"/>
      <c r="M11" s="11"/>
      <c r="N11" s="11"/>
      <c r="O11" s="15">
        <f>SUM(O8:O10)</f>
        <v>0.97500000000000009</v>
      </c>
    </row>
    <row r="12" spans="1:15" ht="20" customHeight="1">
      <c r="A12" s="14"/>
      <c r="B12" s="14"/>
      <c r="C12" s="14"/>
      <c r="D12" s="14"/>
      <c r="E12" s="14"/>
      <c r="F12" s="14"/>
      <c r="G12" s="14"/>
      <c r="H12" s="14"/>
      <c r="I12" s="14"/>
      <c r="J12" s="14"/>
      <c r="K12" s="14"/>
      <c r="L12" s="14"/>
      <c r="M12" s="14"/>
      <c r="N12" s="14"/>
      <c r="O12" s="14"/>
    </row>
    <row r="13" spans="1:15" ht="20" customHeight="1">
      <c r="A13" s="15" t="s">
        <v>17</v>
      </c>
      <c r="B13" s="11"/>
      <c r="C13" s="11"/>
      <c r="D13" s="11"/>
      <c r="E13" s="15">
        <f>'Matières premières'!H50</f>
        <v>2.839999999999999</v>
      </c>
      <c r="F13" s="15" t="s">
        <v>17</v>
      </c>
      <c r="G13" s="11"/>
      <c r="H13" s="11"/>
      <c r="I13" s="11"/>
      <c r="J13" s="15">
        <f>'Matières premières'!H50</f>
        <v>2.839999999999999</v>
      </c>
      <c r="K13" s="15" t="s">
        <v>17</v>
      </c>
      <c r="L13" s="11"/>
      <c r="M13" s="11"/>
      <c r="N13" s="11"/>
      <c r="O13" s="15">
        <f>'Matières premières'!H50</f>
        <v>2.839999999999999</v>
      </c>
    </row>
    <row r="14" spans="1:15" ht="20" customHeight="1">
      <c r="A14" s="14"/>
      <c r="B14" s="14"/>
      <c r="C14" s="14"/>
      <c r="D14" s="14"/>
      <c r="E14" s="14"/>
      <c r="F14" s="14"/>
      <c r="G14" s="14"/>
      <c r="H14" s="14"/>
      <c r="I14" s="14"/>
      <c r="J14" s="14"/>
      <c r="K14" s="14"/>
      <c r="L14" s="14"/>
      <c r="M14" s="14"/>
      <c r="N14" s="14"/>
      <c r="O14" s="14"/>
    </row>
    <row r="15" spans="1:15" ht="20" customHeight="1">
      <c r="A15" s="11" t="s">
        <v>0</v>
      </c>
      <c r="B15" s="11"/>
      <c r="C15" s="11"/>
      <c r="D15" s="11"/>
      <c r="E15" s="16">
        <f>E11+E13</f>
        <v>3.6199999999999992</v>
      </c>
      <c r="F15" s="11" t="s">
        <v>0</v>
      </c>
      <c r="G15" s="11"/>
      <c r="H15" s="11"/>
      <c r="I15" s="11"/>
      <c r="J15" s="16">
        <f>J11+J13</f>
        <v>3.7369999999999988</v>
      </c>
      <c r="K15" s="11" t="s">
        <v>0</v>
      </c>
      <c r="L15" s="11"/>
      <c r="M15" s="11"/>
      <c r="N15" s="11"/>
      <c r="O15" s="16">
        <f>O11+O13</f>
        <v>3.8149999999999991</v>
      </c>
    </row>
    <row r="16" spans="1:15" ht="20" customHeight="1">
      <c r="A16" s="11" t="s">
        <v>1</v>
      </c>
      <c r="B16" s="11"/>
      <c r="C16" s="11"/>
      <c r="D16" s="11"/>
      <c r="E16" s="16">
        <v>5</v>
      </c>
      <c r="F16" s="11" t="s">
        <v>1</v>
      </c>
      <c r="G16" s="11"/>
      <c r="H16" s="11"/>
      <c r="I16" s="11"/>
      <c r="J16" s="16">
        <v>6</v>
      </c>
      <c r="K16" s="11" t="s">
        <v>1</v>
      </c>
      <c r="L16" s="11"/>
      <c r="M16" s="11"/>
      <c r="N16" s="11"/>
      <c r="O16" s="16">
        <v>6.5</v>
      </c>
    </row>
    <row r="17" spans="1:15" ht="20" customHeight="1">
      <c r="A17" s="11" t="s">
        <v>2</v>
      </c>
      <c r="B17" s="11"/>
      <c r="C17" s="11"/>
      <c r="D17" s="11"/>
      <c r="E17" s="16">
        <f>E16-E15</f>
        <v>1.3800000000000008</v>
      </c>
      <c r="F17" s="11" t="s">
        <v>2</v>
      </c>
      <c r="G17" s="11"/>
      <c r="H17" s="11"/>
      <c r="I17" s="11"/>
      <c r="J17" s="16">
        <f>J16-J15</f>
        <v>2.2630000000000012</v>
      </c>
      <c r="K17" s="11" t="s">
        <v>2</v>
      </c>
      <c r="L17" s="11"/>
      <c r="M17" s="11"/>
      <c r="N17" s="11"/>
      <c r="O17" s="16">
        <f>O16-O15</f>
        <v>2.6850000000000009</v>
      </c>
    </row>
    <row r="18" spans="1:15" ht="20" customHeight="1">
      <c r="A18" s="15" t="s">
        <v>3</v>
      </c>
      <c r="B18" s="11"/>
      <c r="C18" s="11"/>
      <c r="D18" s="11"/>
      <c r="E18" s="31">
        <f>(E17/E15)</f>
        <v>0.38121546961325997</v>
      </c>
      <c r="F18" s="15" t="s">
        <v>3</v>
      </c>
      <c r="G18" s="11"/>
      <c r="H18" s="11"/>
      <c r="I18" s="11"/>
      <c r="J18" s="31">
        <f>(J17/J15)</f>
        <v>0.60556596200160606</v>
      </c>
      <c r="K18" s="15" t="s">
        <v>3</v>
      </c>
      <c r="L18" s="11"/>
      <c r="M18" s="11"/>
      <c r="N18" s="11"/>
      <c r="O18" s="31">
        <f>(O17/O15)</f>
        <v>0.70380078636959409</v>
      </c>
    </row>
    <row r="19" spans="1:15" ht="20" customHeight="1"/>
    <row r="20" spans="1:15">
      <c r="A20" s="9" t="s">
        <v>78</v>
      </c>
      <c r="E20">
        <f>IF(OR(E18&gt;50%,E16&lt;-50%),"",E15+(0.5*E15))</f>
        <v>5.4299999999999988</v>
      </c>
      <c r="J20" t="str">
        <f>IF(OR(J18&gt;50%,J16&lt;-50%),"",J15+(0.5*J15))</f>
        <v/>
      </c>
      <c r="O20" t="str">
        <f>IF(OR(O18&gt;50%,O16&lt;-50%),"",O15+(0.5*O15))</f>
        <v/>
      </c>
    </row>
  </sheetData>
  <sheetProtection sheet="1" objects="1" scenarios="1"/>
  <mergeCells count="3">
    <mergeCell ref="A1:E4"/>
    <mergeCell ref="F1:J4"/>
    <mergeCell ref="K1:O4"/>
  </mergeCells>
  <conditionalFormatting sqref="E18">
    <cfRule type="colorScale" priority="3">
      <colorScale>
        <cfvo type="num" val="0.49"/>
        <cfvo type="num" val="0.5"/>
        <color rgb="FFFF7128"/>
        <color rgb="FF00B050"/>
      </colorScale>
    </cfRule>
  </conditionalFormatting>
  <conditionalFormatting sqref="J18">
    <cfRule type="colorScale" priority="2">
      <colorScale>
        <cfvo type="num" val="0.49"/>
        <cfvo type="num" val="0.5"/>
        <color rgb="FFFF7128"/>
        <color rgb="FF00B050"/>
      </colorScale>
    </cfRule>
  </conditionalFormatting>
  <conditionalFormatting sqref="O18">
    <cfRule type="colorScale" priority="1">
      <colorScale>
        <cfvo type="num" val="0.49"/>
        <cfvo type="num" val="0.5"/>
        <color rgb="FFFF7128"/>
        <color rgb="FF00B050"/>
      </colorScale>
    </cfRule>
  </conditionalFormatting>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D91A3-436A-5446-BF43-5CB5F2FEC6ED}">
  <sheetPr codeName="Feuil11"/>
  <dimension ref="A1:L22"/>
  <sheetViews>
    <sheetView view="pageBreakPreview" zoomScaleNormal="100" zoomScaleSheetLayoutView="100" workbookViewId="0">
      <selection activeCell="Q8" sqref="Q8"/>
    </sheetView>
  </sheetViews>
  <sheetFormatPr baseColWidth="10" defaultRowHeight="15"/>
  <cols>
    <col min="1" max="1" width="10.83203125" customWidth="1"/>
    <col min="2" max="12" width="9.83203125" customWidth="1"/>
  </cols>
  <sheetData>
    <row r="1" spans="1:12" ht="61" customHeight="1" thickBot="1">
      <c r="A1" s="107" t="s">
        <v>49</v>
      </c>
      <c r="B1" s="108"/>
      <c r="C1" s="108"/>
      <c r="D1" s="108"/>
      <c r="E1" s="108"/>
      <c r="F1" s="108"/>
      <c r="G1" s="108"/>
      <c r="H1" s="108"/>
      <c r="I1" s="108"/>
      <c r="J1" s="108"/>
      <c r="K1" s="108"/>
      <c r="L1" s="108"/>
    </row>
    <row r="2" spans="1:12" ht="33" customHeight="1" thickBot="1">
      <c r="A2" s="105" t="s">
        <v>88</v>
      </c>
      <c r="B2" s="106"/>
      <c r="C2" s="54"/>
      <c r="D2" s="55">
        <f>'Matières premières'!H50</f>
        <v>2.839999999999999</v>
      </c>
      <c r="E2" s="52"/>
      <c r="F2" s="6"/>
      <c r="G2" s="6"/>
    </row>
    <row r="3" spans="1:12" ht="48">
      <c r="A3" s="53" t="s">
        <v>50</v>
      </c>
      <c r="B3" s="53" t="s">
        <v>51</v>
      </c>
      <c r="C3" s="53" t="s">
        <v>96</v>
      </c>
      <c r="D3" s="53" t="s">
        <v>54</v>
      </c>
      <c r="E3" s="27" t="s">
        <v>87</v>
      </c>
      <c r="F3" s="60" t="s">
        <v>52</v>
      </c>
      <c r="G3" s="27" t="s">
        <v>53</v>
      </c>
      <c r="H3" s="27" t="s">
        <v>65</v>
      </c>
      <c r="I3" s="27" t="s">
        <v>51</v>
      </c>
      <c r="J3" s="27" t="s">
        <v>67</v>
      </c>
      <c r="K3" s="27" t="s">
        <v>113</v>
      </c>
      <c r="L3" s="27" t="s">
        <v>79</v>
      </c>
    </row>
    <row r="4" spans="1:12" ht="16">
      <c r="A4" s="25" t="s">
        <v>37</v>
      </c>
      <c r="B4" s="26">
        <f>'Café crème'!E12</f>
        <v>0.64450000000000007</v>
      </c>
      <c r="C4" s="26">
        <f>B4+Paramètres!$B$5</f>
        <v>3.4844999999999988</v>
      </c>
      <c r="D4" s="26">
        <f>'Café crème'!E17</f>
        <v>3.6</v>
      </c>
      <c r="E4" s="26">
        <f>D4*Paramètres!$B$2</f>
        <v>3.42</v>
      </c>
      <c r="F4" s="26">
        <f>'Café crème'!E18</f>
        <v>0.1</v>
      </c>
      <c r="G4" s="28">
        <f>'Café crème'!E19</f>
        <v>2.8698522026115666E-2</v>
      </c>
      <c r="H4" s="26">
        <f>D4*I4</f>
        <v>0.29160000000000003</v>
      </c>
      <c r="I4" s="28">
        <f>Paramètres!B1</f>
        <v>8.1000000000000003E-2</v>
      </c>
      <c r="J4" s="25">
        <v>1040</v>
      </c>
      <c r="K4" s="25">
        <f>SUM(D4*J4)</f>
        <v>3744</v>
      </c>
      <c r="L4" s="25">
        <f>F4*J4</f>
        <v>104</v>
      </c>
    </row>
    <row r="5" spans="1:12" ht="16">
      <c r="A5" s="25" t="s">
        <v>41</v>
      </c>
      <c r="B5" s="26">
        <f>Cappuccino!E12</f>
        <v>0.89000000000000012</v>
      </c>
      <c r="C5" s="26">
        <f>B5+Paramètres!$B$5</f>
        <v>3.7299999999999991</v>
      </c>
      <c r="D5" s="26">
        <f>Cappuccino!E17</f>
        <v>4.3</v>
      </c>
      <c r="E5" s="26">
        <f>D5*Paramètres!$B$2</f>
        <v>4.085</v>
      </c>
      <c r="F5" s="26">
        <f>Cappuccino!E18</f>
        <v>0.57000000000000073</v>
      </c>
      <c r="G5" s="28">
        <f>Cappuccino!E19</f>
        <v>0.15281501340482598</v>
      </c>
      <c r="H5" s="26">
        <f>D5*I5</f>
        <v>0.3483</v>
      </c>
      <c r="I5" s="28">
        <f>Paramètres!B1</f>
        <v>8.1000000000000003E-2</v>
      </c>
      <c r="J5" s="25">
        <v>500</v>
      </c>
      <c r="K5" s="25">
        <f t="shared" ref="K5:K17" si="0">SUM(D5*J5)</f>
        <v>2150</v>
      </c>
      <c r="L5" s="25">
        <f t="shared" ref="L5:L17" si="1">F5*J5</f>
        <v>285.00000000000034</v>
      </c>
    </row>
    <row r="6" spans="1:12" ht="32">
      <c r="A6" s="25" t="s">
        <v>44</v>
      </c>
      <c r="B6" s="26">
        <f>'Café au lait'!E12</f>
        <v>0.72599999999999998</v>
      </c>
      <c r="C6" s="26">
        <f>B6+Paramètres!$B$5</f>
        <v>3.5659999999999989</v>
      </c>
      <c r="D6" s="26">
        <f>'Café au lait'!E17</f>
        <v>4</v>
      </c>
      <c r="E6" s="26">
        <f>D6*Paramètres!$B$2</f>
        <v>3.8</v>
      </c>
      <c r="F6" s="26">
        <f>'Café au lait'!E18</f>
        <v>0.43400000000000105</v>
      </c>
      <c r="G6" s="28">
        <f>'Café au lait'!E19</f>
        <v>0.12170499158721289</v>
      </c>
      <c r="H6" s="26">
        <f t="shared" ref="H6:H17" si="2">D6*I6</f>
        <v>0.32400000000000001</v>
      </c>
      <c r="I6" s="28">
        <f>Paramètres!B1</f>
        <v>8.1000000000000003E-2</v>
      </c>
      <c r="J6" s="25">
        <v>700</v>
      </c>
      <c r="K6" s="25">
        <f t="shared" si="0"/>
        <v>2800</v>
      </c>
      <c r="L6" s="25">
        <f t="shared" si="1"/>
        <v>303.80000000000075</v>
      </c>
    </row>
    <row r="7" spans="1:12" ht="32">
      <c r="A7" s="25" t="s">
        <v>43</v>
      </c>
      <c r="B7" s="26">
        <f>'Ice coffee'!E12</f>
        <v>0.90800000000000003</v>
      </c>
      <c r="C7" s="26">
        <f>B7+Paramètres!$B$5</f>
        <v>3.7479999999999989</v>
      </c>
      <c r="D7" s="26">
        <f>'Ice coffee'!E17</f>
        <v>4.5</v>
      </c>
      <c r="E7" s="26">
        <f>D7*Paramètres!$B$2</f>
        <v>4.2749999999999995</v>
      </c>
      <c r="F7" s="26">
        <f>'Ice coffee'!E18</f>
        <v>0.75200000000000111</v>
      </c>
      <c r="G7" s="28">
        <f>'Ice coffee'!E19</f>
        <v>0.20064034151547527</v>
      </c>
      <c r="H7" s="26">
        <f t="shared" si="2"/>
        <v>0.36449999999999999</v>
      </c>
      <c r="I7" s="28">
        <f>Paramètres!B1</f>
        <v>8.1000000000000003E-2</v>
      </c>
      <c r="J7" s="25">
        <v>50</v>
      </c>
      <c r="K7" s="25">
        <f t="shared" si="0"/>
        <v>225</v>
      </c>
      <c r="L7" s="25">
        <f t="shared" si="1"/>
        <v>37.600000000000058</v>
      </c>
    </row>
    <row r="8" spans="1:12" ht="32">
      <c r="A8" s="25" t="s">
        <v>43</v>
      </c>
      <c r="B8" s="26">
        <f>'Ice coffee'!J12</f>
        <v>1.028</v>
      </c>
      <c r="C8" s="26">
        <f>B8+Paramètres!$B$5</f>
        <v>3.867999999999999</v>
      </c>
      <c r="D8" s="26">
        <f>'Ice coffee'!J17</f>
        <v>5.5</v>
      </c>
      <c r="E8" s="26">
        <f>D8*Paramètres!$B$2</f>
        <v>5.2249999999999996</v>
      </c>
      <c r="F8" s="26">
        <f>'Ice coffee'!J18</f>
        <v>1.632000000000001</v>
      </c>
      <c r="G8" s="28">
        <f>'Ice coffee'!J19</f>
        <v>0.42192347466390939</v>
      </c>
      <c r="H8" s="26">
        <f t="shared" si="2"/>
        <v>0.44550000000000001</v>
      </c>
      <c r="I8" s="28">
        <f>Paramètres!B1</f>
        <v>8.1000000000000003E-2</v>
      </c>
      <c r="J8" s="25">
        <v>100</v>
      </c>
      <c r="K8" s="25">
        <f t="shared" si="0"/>
        <v>550</v>
      </c>
      <c r="L8" s="25">
        <f t="shared" si="1"/>
        <v>163.2000000000001</v>
      </c>
    </row>
    <row r="9" spans="1:12" ht="32">
      <c r="A9" s="25" t="s">
        <v>43</v>
      </c>
      <c r="B9" s="26">
        <f>'Ice coffee'!O12</f>
        <v>1.1480000000000001</v>
      </c>
      <c r="C9" s="26">
        <f>B9+Paramètres!$B$5</f>
        <v>3.9879999999999991</v>
      </c>
      <c r="D9" s="26">
        <f>'Ice coffee'!O17</f>
        <v>6</v>
      </c>
      <c r="E9" s="26">
        <f>D9*Paramètres!$B$2</f>
        <v>5.6999999999999993</v>
      </c>
      <c r="F9" s="26">
        <f>'Ice coffee'!O18</f>
        <v>2.0120000000000009</v>
      </c>
      <c r="G9" s="28">
        <f>'Ice coffee'!O19</f>
        <v>0.50451354062186593</v>
      </c>
      <c r="H9" s="26">
        <f t="shared" si="2"/>
        <v>0.48599999999999999</v>
      </c>
      <c r="I9" s="28">
        <f>Paramètres!B1</f>
        <v>8.1000000000000003E-2</v>
      </c>
      <c r="J9" s="25">
        <v>250</v>
      </c>
      <c r="K9" s="25">
        <f t="shared" si="0"/>
        <v>1500</v>
      </c>
      <c r="L9" s="25">
        <f t="shared" si="1"/>
        <v>503.00000000000023</v>
      </c>
    </row>
    <row r="10" spans="1:12" ht="16">
      <c r="A10" s="25" t="s">
        <v>57</v>
      </c>
      <c r="B10" s="26">
        <f>Doppio!E12</f>
        <v>0.64449999999999996</v>
      </c>
      <c r="C10" s="26">
        <f>B10+Paramètres!$B$5</f>
        <v>3.4844999999999988</v>
      </c>
      <c r="D10" s="26">
        <f>Doppio!E17</f>
        <v>4.3</v>
      </c>
      <c r="E10" s="26">
        <f>D10*Paramètres!$B$2</f>
        <v>4.085</v>
      </c>
      <c r="F10" s="26">
        <f>Doppio!E18</f>
        <v>0.815500000000001</v>
      </c>
      <c r="G10" s="28">
        <f>Doppio!E19</f>
        <v>0.23403644712297353</v>
      </c>
      <c r="H10" s="26">
        <f t="shared" si="2"/>
        <v>0.3483</v>
      </c>
      <c r="I10" s="28">
        <f>Paramètres!B1</f>
        <v>8.1000000000000003E-2</v>
      </c>
      <c r="J10" s="25">
        <v>100</v>
      </c>
      <c r="K10" s="25">
        <f t="shared" si="0"/>
        <v>430</v>
      </c>
      <c r="L10" s="25">
        <f t="shared" si="1"/>
        <v>81.550000000000097</v>
      </c>
    </row>
    <row r="11" spans="1:12">
      <c r="A11" s="5" t="s">
        <v>61</v>
      </c>
      <c r="B11" s="5">
        <f>'Latte macchiato'!E12</f>
        <v>0.53800000000000003</v>
      </c>
      <c r="C11" s="26">
        <f>B11+Paramètres!$B$5</f>
        <v>3.3779999999999992</v>
      </c>
      <c r="D11" s="5">
        <f>'Latte macchiato'!E17</f>
        <v>5</v>
      </c>
      <c r="E11" s="26">
        <f>D11*Paramètres!$B$2</f>
        <v>4.75</v>
      </c>
      <c r="F11" s="26">
        <f>'Latte macchiato'!E18</f>
        <v>1.6220000000000008</v>
      </c>
      <c r="G11" s="28">
        <f>'Latte macchiato'!E19</f>
        <v>0.48016577856719989</v>
      </c>
      <c r="H11" s="26">
        <f t="shared" si="2"/>
        <v>0.40500000000000003</v>
      </c>
      <c r="I11" s="28">
        <f>Paramètres!B1</f>
        <v>8.1000000000000003E-2</v>
      </c>
      <c r="J11" s="25">
        <v>300</v>
      </c>
      <c r="K11" s="25">
        <f t="shared" si="0"/>
        <v>1500</v>
      </c>
      <c r="L11" s="25">
        <f t="shared" si="1"/>
        <v>486.60000000000025</v>
      </c>
    </row>
    <row r="12" spans="1:12" ht="16">
      <c r="A12" s="25" t="s">
        <v>63</v>
      </c>
      <c r="B12" s="5">
        <f>'Matcha latte'!E12</f>
        <v>1.1400000000000001</v>
      </c>
      <c r="C12" s="26">
        <f>B12+Paramètres!$B$5</f>
        <v>3.9799999999999991</v>
      </c>
      <c r="D12" s="5">
        <f>'Matcha latte'!E17</f>
        <v>5</v>
      </c>
      <c r="E12" s="26">
        <f>D12*Paramètres!$B$2</f>
        <v>4.75</v>
      </c>
      <c r="F12" s="26">
        <f>'Matcha latte'!E18</f>
        <v>1.0200000000000009</v>
      </c>
      <c r="G12" s="28">
        <f>'Matcha latte'!E19</f>
        <v>0.25628140703517616</v>
      </c>
      <c r="H12" s="26">
        <f t="shared" si="2"/>
        <v>0.40500000000000003</v>
      </c>
      <c r="I12" s="28">
        <f>Paramètres!B1</f>
        <v>8.1000000000000003E-2</v>
      </c>
      <c r="J12" s="25">
        <v>30</v>
      </c>
      <c r="K12" s="25">
        <f t="shared" si="0"/>
        <v>150</v>
      </c>
      <c r="L12" s="25">
        <f t="shared" si="1"/>
        <v>30.600000000000026</v>
      </c>
    </row>
    <row r="13" spans="1:12" ht="16">
      <c r="A13" s="25" t="s">
        <v>63</v>
      </c>
      <c r="B13" s="32">
        <f>'Matcha latte'!E12</f>
        <v>1.1400000000000001</v>
      </c>
      <c r="C13" s="26">
        <f>B13+Paramètres!$B$5</f>
        <v>3.9799999999999991</v>
      </c>
      <c r="D13" s="32">
        <f>'Matcha latte'!J17</f>
        <v>6</v>
      </c>
      <c r="E13" s="26">
        <f>D13*Paramètres!$B$2</f>
        <v>5.6999999999999993</v>
      </c>
      <c r="F13" s="26">
        <f>'Matcha latte'!J18</f>
        <v>2.0200000000000009</v>
      </c>
      <c r="G13" s="28">
        <f>'Matcha latte'!J19</f>
        <v>0.50753768844221137</v>
      </c>
      <c r="H13" s="26">
        <f t="shared" si="2"/>
        <v>0.48599999999999999</v>
      </c>
      <c r="I13" s="28">
        <f>Paramètres!B1</f>
        <v>8.1000000000000003E-2</v>
      </c>
      <c r="J13" s="25">
        <v>40</v>
      </c>
      <c r="K13" s="25">
        <f t="shared" si="0"/>
        <v>240</v>
      </c>
      <c r="L13" s="25">
        <f t="shared" si="1"/>
        <v>80.80000000000004</v>
      </c>
    </row>
    <row r="14" spans="1:12" ht="16">
      <c r="A14" s="25" t="s">
        <v>63</v>
      </c>
      <c r="B14" s="32">
        <f>'Matcha latte'!J12</f>
        <v>1.1400000000000001</v>
      </c>
      <c r="C14" s="26">
        <f>B14+Paramètres!$B$5</f>
        <v>3.9799999999999991</v>
      </c>
      <c r="D14" s="32">
        <f>'Matcha latte'!O17</f>
        <v>6.5</v>
      </c>
      <c r="E14" s="26">
        <f>D14*Paramètres!$B$2</f>
        <v>6.1749999999999998</v>
      </c>
      <c r="F14" s="26">
        <f>'Matcha latte'!O18</f>
        <v>2.5200000000000009</v>
      </c>
      <c r="G14" s="28">
        <f>'Matcha latte'!O19</f>
        <v>0.63316582914572905</v>
      </c>
      <c r="H14" s="26">
        <f t="shared" si="2"/>
        <v>0.52649999999999997</v>
      </c>
      <c r="I14" s="28">
        <f>Paramètres!B1</f>
        <v>8.1000000000000003E-2</v>
      </c>
      <c r="J14" s="25">
        <v>50</v>
      </c>
      <c r="K14" s="25">
        <f t="shared" si="0"/>
        <v>325</v>
      </c>
      <c r="L14" s="25">
        <f t="shared" si="1"/>
        <v>126.00000000000004</v>
      </c>
    </row>
    <row r="15" spans="1:12" ht="16">
      <c r="A15" s="25" t="s">
        <v>62</v>
      </c>
      <c r="B15" s="5">
        <f>Matcha!E11</f>
        <v>0.78</v>
      </c>
      <c r="C15" s="26">
        <f>B15+Paramètres!$B$5</f>
        <v>3.6199999999999992</v>
      </c>
      <c r="D15" s="5">
        <f>Matcha!E16</f>
        <v>5</v>
      </c>
      <c r="E15" s="26">
        <f>D15*Paramètres!$B$2</f>
        <v>4.75</v>
      </c>
      <c r="F15" s="26">
        <f>Matcha!E17</f>
        <v>1.3800000000000008</v>
      </c>
      <c r="G15" s="28">
        <f>Matcha!E18</f>
        <v>0.38121546961325997</v>
      </c>
      <c r="H15" s="26">
        <f t="shared" si="2"/>
        <v>0.40500000000000003</v>
      </c>
      <c r="I15" s="28">
        <f>Paramètres!B1</f>
        <v>8.1000000000000003E-2</v>
      </c>
      <c r="J15" s="25">
        <v>40</v>
      </c>
      <c r="K15" s="25">
        <f t="shared" si="0"/>
        <v>200</v>
      </c>
      <c r="L15" s="25">
        <f t="shared" si="1"/>
        <v>55.200000000000031</v>
      </c>
    </row>
    <row r="16" spans="1:12" ht="16">
      <c r="A16" s="25" t="s">
        <v>62</v>
      </c>
      <c r="B16" s="32">
        <f>Matcha!J11</f>
        <v>0.89699999999999991</v>
      </c>
      <c r="C16" s="26">
        <f>B16+Paramètres!$B$5</f>
        <v>3.7369999999999988</v>
      </c>
      <c r="D16" s="32">
        <f>Matcha!J16</f>
        <v>6</v>
      </c>
      <c r="E16" s="26">
        <f>D16*Paramètres!$B$2</f>
        <v>5.6999999999999993</v>
      </c>
      <c r="F16" s="26">
        <f>Matcha!J17</f>
        <v>2.2630000000000012</v>
      </c>
      <c r="G16" s="28">
        <f>Matcha!J18</f>
        <v>0.60556596200160606</v>
      </c>
      <c r="H16" s="26">
        <f t="shared" si="2"/>
        <v>0.48599999999999999</v>
      </c>
      <c r="I16" s="28">
        <f>Paramètres!B1</f>
        <v>8.1000000000000003E-2</v>
      </c>
      <c r="J16" s="25">
        <v>80</v>
      </c>
      <c r="K16" s="25">
        <f t="shared" si="0"/>
        <v>480</v>
      </c>
      <c r="L16" s="25">
        <f t="shared" si="1"/>
        <v>181.04000000000011</v>
      </c>
    </row>
    <row r="17" spans="1:12" ht="17" thickBot="1">
      <c r="A17" s="25" t="s">
        <v>62</v>
      </c>
      <c r="B17" s="32">
        <f>Matcha!O11</f>
        <v>0.97500000000000009</v>
      </c>
      <c r="C17" s="26">
        <f>B17+Paramètres!$B$5</f>
        <v>3.8149999999999991</v>
      </c>
      <c r="D17" s="32">
        <f>Matcha!O16</f>
        <v>6.5</v>
      </c>
      <c r="E17" s="26">
        <f>D17*Paramètres!$B$2</f>
        <v>6.1749999999999998</v>
      </c>
      <c r="F17" s="26">
        <f>Matcha!O17</f>
        <v>2.6850000000000009</v>
      </c>
      <c r="G17" s="28">
        <f>Matcha!O18</f>
        <v>0.70380078636959409</v>
      </c>
      <c r="H17" s="26">
        <f t="shared" si="2"/>
        <v>0.52649999999999997</v>
      </c>
      <c r="I17" s="28">
        <f>Paramètres!B1</f>
        <v>8.1000000000000003E-2</v>
      </c>
      <c r="J17" s="25">
        <v>40</v>
      </c>
      <c r="K17" s="25">
        <f t="shared" si="0"/>
        <v>260</v>
      </c>
      <c r="L17" s="25">
        <f t="shared" si="1"/>
        <v>107.40000000000003</v>
      </c>
    </row>
    <row r="18" spans="1:12" ht="16" thickBot="1">
      <c r="A18" s="47" t="s">
        <v>70</v>
      </c>
      <c r="B18" s="48">
        <f t="shared" ref="B18:H18" si="3">AVERAGE(B4:B15)</f>
        <v>0.89391666666666669</v>
      </c>
      <c r="C18" s="48">
        <f t="shared" si="3"/>
        <v>3.7339166666666652</v>
      </c>
      <c r="D18" s="48">
        <f t="shared" si="3"/>
        <v>4.9749999999999996</v>
      </c>
      <c r="E18" s="48">
        <f t="shared" si="3"/>
        <v>4.7262500000000003</v>
      </c>
      <c r="F18" s="48">
        <f t="shared" si="3"/>
        <v>1.2397916666666677</v>
      </c>
      <c r="G18" s="48">
        <f t="shared" si="3"/>
        <v>0.32689154197882958</v>
      </c>
      <c r="H18" s="48">
        <f t="shared" si="3"/>
        <v>0.40297500000000003</v>
      </c>
      <c r="I18" s="48"/>
      <c r="J18" s="48">
        <f>AVERAGE(J4:J15)</f>
        <v>266.66666666666669</v>
      </c>
      <c r="K18" s="72"/>
      <c r="L18" s="49"/>
    </row>
    <row r="19" spans="1:12" ht="16" thickBot="1">
      <c r="A19" s="50" t="s">
        <v>71</v>
      </c>
      <c r="B19" s="51"/>
      <c r="C19" s="51"/>
      <c r="D19" s="51"/>
      <c r="E19" s="51"/>
      <c r="F19" s="51"/>
      <c r="G19" s="51"/>
      <c r="H19" s="51"/>
      <c r="I19" s="51"/>
      <c r="J19" s="51">
        <f>SUM(J4:J15)</f>
        <v>3200</v>
      </c>
      <c r="K19" s="51">
        <f>SUM(K4:K17)</f>
        <v>14554</v>
      </c>
      <c r="L19" s="49">
        <f>SUM($L$4:$L$17)</f>
        <v>2545.7900000000018</v>
      </c>
    </row>
    <row r="20" spans="1:12" ht="20" customHeight="1">
      <c r="A20" s="109" t="s">
        <v>164</v>
      </c>
      <c r="B20" s="109"/>
      <c r="J20" s="4">
        <v>0.08</v>
      </c>
      <c r="K20" s="19">
        <f>K19*$J$20</f>
        <v>1164.32</v>
      </c>
      <c r="L20" s="19">
        <f>L19*$J$20</f>
        <v>203.66320000000016</v>
      </c>
    </row>
    <row r="21" spans="1:12">
      <c r="A21" s="41" t="s">
        <v>68</v>
      </c>
      <c r="B21" s="42"/>
      <c r="C21" s="42"/>
      <c r="D21" s="42"/>
      <c r="E21" s="42"/>
      <c r="F21" s="42"/>
      <c r="G21" s="43">
        <f>COUNTIF(G4:G17,"&gt;50%")</f>
        <v>5</v>
      </c>
    </row>
    <row r="22" spans="1:12">
      <c r="A22" s="44" t="s">
        <v>69</v>
      </c>
      <c r="B22" s="45"/>
      <c r="C22" s="45"/>
      <c r="D22" s="45"/>
      <c r="E22" s="45"/>
      <c r="F22" s="45"/>
      <c r="G22" s="46">
        <f>COUNTIF(G4:G17,"&lt;50%")</f>
        <v>9</v>
      </c>
    </row>
  </sheetData>
  <mergeCells count="3">
    <mergeCell ref="A2:B2"/>
    <mergeCell ref="A1:L1"/>
    <mergeCell ref="A20:B20"/>
  </mergeCells>
  <conditionalFormatting sqref="G4:G17">
    <cfRule type="colorScale" priority="1">
      <colorScale>
        <cfvo type="num" val="0.01"/>
        <cfvo type="num" val="0.49"/>
        <cfvo type="num" val="0.5"/>
        <color rgb="FFFF0000"/>
        <color rgb="FFFFC000"/>
        <color rgb="FF00B050"/>
      </colorScale>
    </cfRule>
  </conditionalFormatting>
  <pageMargins left="0.7" right="0.7" top="0.75" bottom="0.75" header="0.3" footer="0.3"/>
  <pageSetup paperSize="9" fitToWidth="0" fitToHeight="0"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C24F0-624C-4541-995A-56342E8E3B77}">
  <sheetPr codeName="Feuil12"/>
  <dimension ref="A1:B8"/>
  <sheetViews>
    <sheetView zoomScaleNormal="100" workbookViewId="0">
      <selection activeCell="B9" sqref="B9"/>
    </sheetView>
  </sheetViews>
  <sheetFormatPr baseColWidth="10" defaultRowHeight="15"/>
  <cols>
    <col min="1" max="1" width="14.1640625" customWidth="1"/>
    <col min="2" max="2" width="10.83203125" customWidth="1"/>
  </cols>
  <sheetData>
    <row r="1" spans="1:2">
      <c r="A1" t="s">
        <v>47</v>
      </c>
      <c r="B1" s="29">
        <v>8.1000000000000003E-2</v>
      </c>
    </row>
    <row r="2" spans="1:2">
      <c r="A2" t="s">
        <v>48</v>
      </c>
      <c r="B2">
        <v>0.95</v>
      </c>
    </row>
    <row r="3" spans="1:2">
      <c r="A3" t="s">
        <v>66</v>
      </c>
      <c r="B3" s="30">
        <f ca="1">TODAY()</f>
        <v>45970</v>
      </c>
    </row>
    <row r="4" spans="1:2" ht="16" thickBot="1">
      <c r="A4" t="s">
        <v>89</v>
      </c>
      <c r="B4" s="56" t="s">
        <v>90</v>
      </c>
    </row>
    <row r="5" spans="1:2" ht="16" thickBot="1">
      <c r="A5" t="s">
        <v>97</v>
      </c>
      <c r="B5" s="22">
        <f>'Matières premières'!H50</f>
        <v>2.839999999999999</v>
      </c>
    </row>
    <row r="6" spans="1:2">
      <c r="A6" t="s">
        <v>111</v>
      </c>
      <c r="B6">
        <v>1.2</v>
      </c>
    </row>
    <row r="7" spans="1:2">
      <c r="A7" t="s">
        <v>112</v>
      </c>
      <c r="B7">
        <v>1.4</v>
      </c>
    </row>
    <row r="8" spans="1:2">
      <c r="B8" t="s">
        <v>114</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13</vt:i4>
      </vt:variant>
      <vt:variant>
        <vt:lpstr>Plages nommées</vt:lpstr>
      </vt:variant>
      <vt:variant>
        <vt:i4>12</vt:i4>
      </vt:variant>
    </vt:vector>
  </HeadingPairs>
  <TitlesOfParts>
    <vt:vector size="25" baseType="lpstr">
      <vt:lpstr>Notice</vt:lpstr>
      <vt:lpstr>Table des matières</vt:lpstr>
      <vt:lpstr>Matières premières</vt:lpstr>
      <vt:lpstr>Café crème</vt:lpstr>
      <vt:lpstr>Cappuccino</vt:lpstr>
      <vt:lpstr>Café au lait</vt:lpstr>
      <vt:lpstr>Ice coffee</vt:lpstr>
      <vt:lpstr>Doppio</vt:lpstr>
      <vt:lpstr>Latte macchiato</vt:lpstr>
      <vt:lpstr>Matcha latte</vt:lpstr>
      <vt:lpstr>Matcha</vt:lpstr>
      <vt:lpstr>synthèse des marges</vt:lpstr>
      <vt:lpstr>Paramètres</vt:lpstr>
      <vt:lpstr>'Café au lait'!Zone_d_impression</vt:lpstr>
      <vt:lpstr>'Café crème'!Zone_d_impression</vt:lpstr>
      <vt:lpstr>Cappuccino!Zone_d_impression</vt:lpstr>
      <vt:lpstr>Doppio!Zone_d_impression</vt:lpstr>
      <vt:lpstr>'Ice coffee'!Zone_d_impression</vt:lpstr>
      <vt:lpstr>'Latte macchiato'!Zone_d_impression</vt:lpstr>
      <vt:lpstr>Matcha!Zone_d_impression</vt:lpstr>
      <vt:lpstr>'Matcha latte'!Zone_d_impression</vt:lpstr>
      <vt:lpstr>'Matières premières'!Zone_d_impression</vt:lpstr>
      <vt:lpstr>Notice!Zone_d_impression</vt:lpstr>
      <vt:lpstr>'synthèse des marges'!Zone_d_impression</vt:lpstr>
      <vt:lpstr>'Table des matières'!Zone_d_impression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johan Reymond</cp:lastModifiedBy>
  <dcterms:created xsi:type="dcterms:W3CDTF">2025-04-29T12:40:25Z</dcterms:created>
  <dcterms:modified xsi:type="dcterms:W3CDTF">2025-11-09T16:10:02Z</dcterms:modified>
</cp:coreProperties>
</file>